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220" windowWidth="21360" windowHeight="14420" tabRatio="500" activeTab="0"/>
  </bookViews>
  <sheets>
    <sheet name="Carrying capacity" sheetId="1" r:id="rId1"/>
    <sheet name="Sheet1" sheetId="2" r:id="rId2"/>
  </sheets>
  <definedNames/>
  <calcPr fullCalcOnLoad="1"/>
</workbook>
</file>

<file path=xl/comments1.xml><?xml version="1.0" encoding="utf-8"?>
<comments xmlns="http://schemas.openxmlformats.org/spreadsheetml/2006/main">
  <authors>
    <author>Jesse Chambers</author>
  </authors>
  <commentList>
    <comment ref="O45" authorId="0">
      <text>
        <r>
          <rPr>
            <b/>
            <sz val="9"/>
            <rFont val="Verdana"/>
            <family val="0"/>
          </rPr>
          <t>Jesse Chambers:</t>
        </r>
        <r>
          <rPr>
            <sz val="9"/>
            <rFont val="Verdana"/>
            <family val="0"/>
          </rPr>
          <t xml:space="preserve">
  Scenario 8 :       Alaska Highway right-of-way biomass excluded
Assumption
18. Forage biomass within the Alaska Highway right-of-way was excluded.
</t>
        </r>
      </text>
    </comment>
    <comment ref="O42" authorId="0">
      <text>
        <r>
          <rPr>
            <b/>
            <sz val="9"/>
            <rFont val="Verdana"/>
            <family val="0"/>
          </rPr>
          <t>Jesse Chambers:</t>
        </r>
        <r>
          <rPr>
            <sz val="9"/>
            <rFont val="Verdana"/>
            <family val="0"/>
          </rPr>
          <t xml:space="preserve">
  Scenario 7 :        Application of ecologically sustainable safe-use factors 
Assumption    
17. Ecologically sustainable safe-use factors were applied, 25% of seasonal forage biomass for treed and 50% for nontreed vegetation types (Alberta Sustainable Resource Development 2004). 
</t>
        </r>
      </text>
    </comment>
    <comment ref="O39" authorId="0">
      <text>
        <r>
          <rPr>
            <b/>
            <sz val="9"/>
            <rFont val="Verdana"/>
            <family val="0"/>
          </rPr>
          <t>Jesse Chambers:</t>
        </r>
        <r>
          <rPr>
            <sz val="9"/>
            <rFont val="Verdana"/>
            <family val="0"/>
          </rPr>
          <t xml:space="preserve">
 Scenario 6 :       Adjustment for forage preference 
Assumption    
16. Forage biomass by season was weighted by relative forage index values (Table 10).
</t>
        </r>
      </text>
    </comment>
    <comment ref="G37" authorId="0">
      <text>
        <r>
          <rPr>
            <b/>
            <sz val="9"/>
            <rFont val="Verdana"/>
            <family val="0"/>
          </rPr>
          <t>Jesse Chambers:</t>
        </r>
        <r>
          <rPr>
            <sz val="9"/>
            <rFont val="Verdana"/>
            <family val="0"/>
          </rPr>
          <t xml:space="preserve">
Mule deer have an 18% dietary similarity with elk (Hansen and Clark 1977)</t>
        </r>
      </text>
    </comment>
    <comment ref="O36" authorId="0">
      <text>
        <r>
          <rPr>
            <b/>
            <sz val="9"/>
            <rFont val="Verdana"/>
            <family val="0"/>
          </rPr>
          <t>Jesse Chambers:</t>
        </r>
        <r>
          <rPr>
            <sz val="9"/>
            <rFont val="Verdana"/>
            <family val="0"/>
          </rPr>
          <t xml:space="preserve">
  Scenario 5 :       Adjustment for seasonal forage availability 
Assumptions
14. Forbs were excluded from fall forage use as they are inaccessible or physically disintegrated.
15. Forbs and shrub leaves were excluded from winter forage use as they are inaccessible or physically disintegrated.
</t>
        </r>
      </text>
    </comment>
    <comment ref="F35" authorId="0">
      <text>
        <r>
          <rPr>
            <b/>
            <sz val="9"/>
            <rFont val="Verdana"/>
            <family val="0"/>
          </rPr>
          <t>Jesse Chambers:</t>
        </r>
        <r>
          <rPr>
            <sz val="9"/>
            <rFont val="Verdana"/>
            <family val="0"/>
          </rPr>
          <t xml:space="preserve">
ungulates require 3% of their body weight in forage/day</t>
        </r>
      </text>
    </comment>
    <comment ref="G34" authorId="0">
      <text>
        <r>
          <rPr>
            <b/>
            <sz val="9"/>
            <rFont val="Verdana"/>
            <family val="0"/>
          </rPr>
          <t>Jesse Chambers:</t>
        </r>
        <r>
          <rPr>
            <sz val="9"/>
            <rFont val="Verdana"/>
            <family val="0"/>
          </rPr>
          <t xml:space="preserve">
ammount (total kg) consumed by X  number of horses or mule deer in a year</t>
        </r>
      </text>
    </comment>
    <comment ref="O33" authorId="0">
      <text>
        <r>
          <rPr>
            <b/>
            <sz val="9"/>
            <rFont val="Verdana"/>
            <family val="0"/>
          </rPr>
          <t>Jesse Chambers:</t>
        </r>
        <r>
          <rPr>
            <sz val="9"/>
            <rFont val="Verdana"/>
            <family val="0"/>
          </rPr>
          <t xml:space="preserve">
  Scenario 4 :       Adjustment for diet similarities between mule deer and elk diets
Assumption    
13. Mule deer forage intake was weighted by similarity to elk diets.  Mule deer diet composition was not known, therefore forage intake was reduced by 72% (Hansen and Clark 1977; Bartmann et al. 1992).
</t>
        </r>
      </text>
    </comment>
    <comment ref="O30" authorId="0">
      <text>
        <r>
          <rPr>
            <b/>
            <sz val="9"/>
            <rFont val="Verdana"/>
            <family val="0"/>
          </rPr>
          <t>Jesse Chambers:</t>
        </r>
        <r>
          <rPr>
            <sz val="9"/>
            <rFont val="Verdana"/>
            <family val="0"/>
          </rPr>
          <t xml:space="preserve">
  Scenario 3 :       Adjustment for winter diet composition
Assumption    
12. In winter, browse forms an average of 29% of an elk's diet (Christianson and Creel 2007).  
</t>
        </r>
      </text>
    </comment>
    <comment ref="C30" authorId="0">
      <text>
        <r>
          <rPr>
            <b/>
            <sz val="9"/>
            <rFont val="Verdana"/>
            <family val="0"/>
          </rPr>
          <t>Jesse Chambers:</t>
        </r>
        <r>
          <rPr>
            <sz val="9"/>
            <rFont val="Verdana"/>
            <family val="0"/>
          </rPr>
          <t xml:space="preserve">
Elk consume on average 29% browse in the winter (Christianson and Creel 2007)</t>
        </r>
      </text>
    </comment>
    <comment ref="O26" authorId="0">
      <text>
        <r>
          <rPr>
            <b/>
            <sz val="9"/>
            <rFont val="Verdana"/>
            <family val="0"/>
          </rPr>
          <t>Jesse Chambers:</t>
        </r>
        <r>
          <rPr>
            <sz val="9"/>
            <rFont val="Verdana"/>
            <family val="0"/>
          </rPr>
          <t xml:space="preserve">
  Scenario 2 :       Seasonally weighted carrying capacity
Assumptions    
5.   Deciduous trees produced 3,454 tonnes of leaf litterfall biomass per year.
6.   Seasons of unequal length occur.
7.   Seasonal forage availability was a proportion of peak biomass.
8.   Fall forage availability is the total of peak biomass and leaf litterfall biomass.
9.   A total of 15 horses and 30 mule deer are part of the study area environment (T. Jung, Yukon Department of Environment, 2009, pers. comm.)
10.   Mule deer (88 kg – Kuzyk and Hudson 2007; Yukon Department of Environment, unpublished data, 2008), and horses (450 kg – Marlow et al. 1992) require 3% of their body mass in forage per day (Kuzyk and Hudson 2007).
11. All elk, horses, and deer remain within the study area and equally use all vegetation types in proportion to the abundance of forage.
</t>
        </r>
      </text>
    </comment>
    <comment ref="C26" authorId="0">
      <text>
        <r>
          <rPr>
            <b/>
            <sz val="9"/>
            <rFont val="Verdana"/>
            <family val="0"/>
          </rPr>
          <t>Jesse Chambers:</t>
        </r>
        <r>
          <rPr>
            <sz val="9"/>
            <rFont val="Verdana"/>
            <family val="0"/>
          </rPr>
          <t xml:space="preserve">
Same as biomass - year</t>
        </r>
      </text>
    </comment>
    <comment ref="O24" authorId="0">
      <text>
        <r>
          <rPr>
            <b/>
            <sz val="9"/>
            <rFont val="Verdana"/>
            <family val="0"/>
          </rPr>
          <t>Jesse Chambers:</t>
        </r>
        <r>
          <rPr>
            <sz val="9"/>
            <rFont val="Verdana"/>
            <family val="0"/>
          </rPr>
          <t xml:space="preserve">
  Scenario 1 :       Maximum carrying capacity
Assumptions    
1.   2,072 tonnes of forage are available annually for elk consumption, excluding leaf litterfall.
2.   Healthy elk consume 3% of their body mass in forage daily (Baker et al. 1998; Gedis and Hudson 2000; Kuzyk et al. 2006).
3.   Elk weigh 243 kg (Florkiewicz 1994).
4.   All elk, horses and mule deer remain within the study area and use all vegetation types equally.
</t>
        </r>
      </text>
    </comment>
    <comment ref="P5" authorId="0">
      <text>
        <r>
          <rPr>
            <b/>
            <sz val="9"/>
            <rFont val="Verdana"/>
            <family val="0"/>
          </rPr>
          <t>Jesse Chambers:</t>
        </r>
        <r>
          <rPr>
            <sz val="9"/>
            <rFont val="Verdana"/>
            <family val="0"/>
          </rPr>
          <t xml:space="preserve">
each FIc value is weighted by the maximum FIc value for that season ie 1.78/</t>
        </r>
        <r>
          <rPr>
            <b/>
            <sz val="9"/>
            <rFont val="Verdana"/>
            <family val="0"/>
          </rPr>
          <t>1.9</t>
        </r>
      </text>
    </comment>
    <comment ref="H4" authorId="0">
      <text>
        <r>
          <rPr>
            <b/>
            <sz val="9"/>
            <rFont val="Verdana"/>
            <family val="0"/>
          </rPr>
          <t>Jesse Chambers:</t>
        </r>
        <r>
          <rPr>
            <sz val="9"/>
            <rFont val="Verdana"/>
            <family val="0"/>
          </rPr>
          <t xml:space="preserve">
Fall biomass - leaf biomass - shrub biomass</t>
        </r>
      </text>
    </comment>
    <comment ref="G4" authorId="0">
      <text>
        <r>
          <rPr>
            <b/>
            <sz val="9"/>
            <rFont val="Verdana"/>
            <family val="0"/>
          </rPr>
          <t>Jesse Chambers:</t>
        </r>
        <r>
          <rPr>
            <sz val="9"/>
            <rFont val="Verdana"/>
            <family val="0"/>
          </rPr>
          <t xml:space="preserve">
Peak biomass - forb biomass +leaf litter biomass</t>
        </r>
      </text>
    </comment>
    <comment ref="E4" authorId="0">
      <text>
        <r>
          <rPr>
            <b/>
            <sz val="9"/>
            <rFont val="Verdana"/>
            <family val="0"/>
          </rPr>
          <t>Jesse Chambers:</t>
        </r>
        <r>
          <rPr>
            <sz val="9"/>
            <rFont val="Verdana"/>
            <family val="0"/>
          </rPr>
          <t xml:space="preserve">
End of growing season biomass of graminoids, forbs and shrub leaves</t>
        </r>
      </text>
    </comment>
    <comment ref="B4" authorId="0">
      <text>
        <r>
          <rPr>
            <b/>
            <sz val="9"/>
            <rFont val="Verdana"/>
            <family val="0"/>
          </rPr>
          <t>Jesse Chambers:</t>
        </r>
        <r>
          <rPr>
            <sz val="9"/>
            <rFont val="Verdana"/>
            <family val="0"/>
          </rPr>
          <t xml:space="preserve">
Total area of the community type within the study area</t>
        </r>
      </text>
    </comment>
  </commentList>
</comments>
</file>

<file path=xl/sharedStrings.xml><?xml version="1.0" encoding="utf-8"?>
<sst xmlns="http://schemas.openxmlformats.org/spreadsheetml/2006/main" count="89" uniqueCount="76">
  <si>
    <t>Elk weighted average weight</t>
  </si>
  <si>
    <t>2a*</t>
  </si>
  <si>
    <t>Total peak biomass</t>
  </si>
  <si>
    <t>Values</t>
  </si>
  <si>
    <t>Scenario</t>
  </si>
  <si>
    <t>Carrying Capacity</t>
  </si>
  <si>
    <t>Total Biomass</t>
  </si>
  <si>
    <t>Total biomass</t>
  </si>
  <si>
    <t>Total area</t>
  </si>
  <si>
    <t>Brin/Roac/Acmi</t>
  </si>
  <si>
    <t>FRVI/ROAC</t>
  </si>
  <si>
    <t>Capu/Roac</t>
  </si>
  <si>
    <t>Casu/Capu</t>
  </si>
  <si>
    <t>Cast/Arfr</t>
  </si>
  <si>
    <t>Pigl/Hysp</t>
  </si>
  <si>
    <t>Potr/Roac/Aruv</t>
  </si>
  <si>
    <t>Potr/Shca/Roac</t>
  </si>
  <si>
    <t>Potr/Aruv</t>
  </si>
  <si>
    <t>Pigl/Aruv/Libo</t>
  </si>
  <si>
    <t>Pigl/Sagl/Shca</t>
  </si>
  <si>
    <t>Pico/Libo/Capu</t>
  </si>
  <si>
    <t>Biomass - year</t>
  </si>
  <si>
    <t>Biomass - Fall</t>
  </si>
  <si>
    <t>Biomass - Summer</t>
  </si>
  <si>
    <t>Biomass - Spring</t>
  </si>
  <si>
    <t>Biomass - Winter</t>
  </si>
  <si>
    <t>Fic - fall</t>
  </si>
  <si>
    <t>Fic - Summer</t>
  </si>
  <si>
    <t>Fic - Spring</t>
  </si>
  <si>
    <t>Fic - Winter</t>
  </si>
  <si>
    <t>Winter biomass (kg/ha)</t>
  </si>
  <si>
    <t>Fall biomass (kg/ha)</t>
  </si>
  <si>
    <t>Leaf litter biomass (kg/ha)</t>
  </si>
  <si>
    <t>Peak Biomass (kg/ha)</t>
  </si>
  <si>
    <t>Area (ha)</t>
  </si>
  <si>
    <t>Seasonally Weighted and FIC Weighted Biomass</t>
  </si>
  <si>
    <t>Forage index Values</t>
  </si>
  <si>
    <t>Biomass Values</t>
  </si>
  <si>
    <t>Vegetation Type</t>
  </si>
  <si>
    <t>Community type</t>
  </si>
  <si>
    <t>25% of available biomass for forested vegetation types, 50% for graminoid vegetation types</t>
  </si>
  <si>
    <t>Fall</t>
  </si>
  <si>
    <t>Summer</t>
  </si>
  <si>
    <t>Spring</t>
  </si>
  <si>
    <t>Winter</t>
  </si>
  <si>
    <t>Available Biomass</t>
  </si>
  <si>
    <t xml:space="preserve">   b - carrying capcaity without horses and mule deer</t>
  </si>
  <si>
    <t>Safe-use Factors</t>
  </si>
  <si>
    <t>* a - carrying capacity with horses and mule deer</t>
  </si>
  <si>
    <t>Mule Deer</t>
  </si>
  <si>
    <t>8b</t>
  </si>
  <si>
    <t>Horses</t>
  </si>
  <si>
    <t>8a</t>
  </si>
  <si>
    <t>weighted</t>
  </si>
  <si>
    <t>7b</t>
  </si>
  <si>
    <t>7a</t>
  </si>
  <si>
    <t>unweighted</t>
  </si>
  <si>
    <t>6b</t>
  </si>
  <si>
    <t>Seasonal forage consumption</t>
  </si>
  <si>
    <t>6a</t>
  </si>
  <si>
    <t>5b</t>
  </si>
  <si>
    <t>88kg</t>
  </si>
  <si>
    <t>5a</t>
  </si>
  <si>
    <t>450kg</t>
  </si>
  <si>
    <t>Weighted</t>
  </si>
  <si>
    <t>Weight</t>
  </si>
  <si>
    <t>Number</t>
  </si>
  <si>
    <t>4b</t>
  </si>
  <si>
    <t>Annual forage consumption</t>
  </si>
  <si>
    <t>4a</t>
  </si>
  <si>
    <t>Horses and Mule Deer</t>
  </si>
  <si>
    <t>3b</t>
  </si>
  <si>
    <t>3a</t>
  </si>
  <si>
    <t>Elk winter forage consumption</t>
  </si>
  <si>
    <t>Elk forage consumption</t>
  </si>
  <si>
    <t>2b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</si>
</sst>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12">
    <font>
      <sz val="10"/>
      <name val="Verdana"/>
      <family val="0"/>
    </font>
    <font>
      <b/>
      <sz val="10"/>
      <name val="Verdana"/>
      <family val="0"/>
    </font>
    <font>
      <i/>
      <sz val="10"/>
      <name val="Verdana"/>
      <family val="0"/>
    </font>
    <font>
      <b/>
      <i/>
      <sz val="10"/>
      <name val="Verdana"/>
      <family val="0"/>
    </font>
    <font>
      <sz val="8"/>
      <name val="Verdana"/>
      <family val="0"/>
    </font>
    <font>
      <b/>
      <sz val="12"/>
      <name val="Verdana"/>
      <family val="0"/>
    </font>
    <font>
      <b/>
      <sz val="10"/>
      <color indexed="48"/>
      <name val="Verdana"/>
      <family val="0"/>
    </font>
    <font>
      <b/>
      <sz val="14"/>
      <name val="Verdana"/>
      <family val="0"/>
    </font>
    <font>
      <b/>
      <sz val="11"/>
      <name val="Verdana"/>
      <family val="0"/>
    </font>
    <font>
      <b/>
      <sz val="9"/>
      <name val="Verdana"/>
      <family val="0"/>
    </font>
    <font>
      <sz val="9"/>
      <name val="Verdana"/>
      <family val="0"/>
    </font>
    <font>
      <b/>
      <sz val="8"/>
      <name val="Verdana"/>
      <family val="2"/>
    </font>
  </fonts>
  <fills count="2">
    <fill>
      <patternFill/>
    </fill>
    <fill>
      <patternFill patternType="gray125"/>
    </fill>
  </fills>
  <borders count="10">
    <border>
      <left/>
      <right/>
      <top/>
      <bottom/>
      <diagonal/>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Alignment="1">
      <alignment/>
    </xf>
    <xf numFmtId="2" fontId="0" fillId="0" borderId="0" xfId="0" applyNumberFormat="1" applyAlignment="1">
      <alignment/>
    </xf>
    <xf numFmtId="1" fontId="0" fillId="0" borderId="0" xfId="0" applyNumberFormat="1" applyAlignment="1">
      <alignment/>
    </xf>
    <xf numFmtId="0" fontId="0" fillId="0" borderId="0" xfId="0" applyFill="1" applyAlignment="1">
      <alignment/>
    </xf>
    <xf numFmtId="2" fontId="0" fillId="0" borderId="0" xfId="0" applyNumberFormat="1"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xf>
    <xf numFmtId="0" fontId="0" fillId="0" borderId="3" xfId="0" applyBorder="1" applyAlignment="1">
      <alignment/>
    </xf>
    <xf numFmtId="0" fontId="5" fillId="0" borderId="0" xfId="0" applyFont="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horizontal="left"/>
    </xf>
    <xf numFmtId="0" fontId="0" fillId="0" borderId="5" xfId="0" applyBorder="1" applyAlignment="1">
      <alignment/>
    </xf>
    <xf numFmtId="0" fontId="0" fillId="0" borderId="5" xfId="0" applyBorder="1" applyAlignment="1">
      <alignment/>
    </xf>
    <xf numFmtId="2" fontId="0" fillId="0" borderId="0" xfId="0" applyNumberFormat="1" applyFill="1" applyAlignment="1">
      <alignment/>
    </xf>
    <xf numFmtId="2" fontId="0" fillId="0" borderId="0" xfId="0" applyNumberFormat="1" applyFill="1" applyAlignment="1">
      <alignment/>
    </xf>
    <xf numFmtId="2" fontId="1" fillId="0" borderId="0" xfId="0" applyNumberFormat="1" applyFont="1" applyFill="1" applyAlignment="1">
      <alignment/>
    </xf>
    <xf numFmtId="2" fontId="0" fillId="0" borderId="0" xfId="0" applyNumberFormat="1" applyFont="1" applyFill="1" applyAlignment="1">
      <alignment/>
    </xf>
    <xf numFmtId="1" fontId="0" fillId="0" borderId="4" xfId="0" applyNumberFormat="1" applyBorder="1" applyAlignment="1">
      <alignment/>
    </xf>
    <xf numFmtId="1" fontId="0" fillId="0" borderId="0" xfId="0" applyNumberFormat="1" applyBorder="1" applyAlignment="1">
      <alignment/>
    </xf>
    <xf numFmtId="0" fontId="0" fillId="0" borderId="5" xfId="0" applyBorder="1" applyAlignment="1">
      <alignment horizontal="right"/>
    </xf>
    <xf numFmtId="1" fontId="0" fillId="0" borderId="4" xfId="0" applyNumberFormat="1" applyBorder="1" applyAlignment="1">
      <alignment/>
    </xf>
    <xf numFmtId="1" fontId="0" fillId="0" borderId="4" xfId="0" applyNumberFormat="1" applyFill="1" applyBorder="1" applyAlignment="1">
      <alignment/>
    </xf>
    <xf numFmtId="1" fontId="0" fillId="0" borderId="0" xfId="0" applyNumberFormat="1" applyFill="1" applyBorder="1" applyAlignment="1">
      <alignment/>
    </xf>
    <xf numFmtId="0" fontId="0" fillId="0" borderId="0" xfId="0" applyFill="1" applyBorder="1" applyAlignment="1">
      <alignment/>
    </xf>
    <xf numFmtId="0" fontId="0" fillId="0" borderId="5" xfId="0" applyFill="1" applyBorder="1" applyAlignment="1">
      <alignment horizontal="right"/>
    </xf>
    <xf numFmtId="1" fontId="0" fillId="0" borderId="0" xfId="0" applyNumberFormat="1" applyFont="1" applyBorder="1" applyAlignment="1">
      <alignment/>
    </xf>
    <xf numFmtId="0" fontId="6" fillId="0" borderId="0" xfId="0" applyFont="1" applyAlignment="1">
      <alignment/>
    </xf>
    <xf numFmtId="0" fontId="0" fillId="0" borderId="0" xfId="0" applyFont="1" applyAlignment="1">
      <alignment/>
    </xf>
    <xf numFmtId="1" fontId="0" fillId="0" borderId="4" xfId="0" applyNumberFormat="1" applyFont="1" applyBorder="1" applyAlignment="1">
      <alignment/>
    </xf>
    <xf numFmtId="2" fontId="1" fillId="0" borderId="0" xfId="0" applyNumberFormat="1" applyFont="1" applyFill="1" applyAlignment="1">
      <alignment/>
    </xf>
    <xf numFmtId="0" fontId="0" fillId="0" borderId="4" xfId="0" applyFont="1" applyBorder="1" applyAlignment="1">
      <alignment/>
    </xf>
    <xf numFmtId="0" fontId="0" fillId="0" borderId="0" xfId="0" applyFont="1" applyBorder="1" applyAlignment="1">
      <alignment/>
    </xf>
    <xf numFmtId="2" fontId="1" fillId="0" borderId="0" xfId="0" applyNumberFormat="1" applyFont="1" applyAlignment="1">
      <alignment/>
    </xf>
    <xf numFmtId="1" fontId="0" fillId="0" borderId="0" xfId="0" applyNumberFormat="1" applyAlignment="1">
      <alignment/>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2" fontId="0" fillId="0" borderId="4" xfId="0" applyNumberFormat="1" applyBorder="1" applyAlignment="1">
      <alignment/>
    </xf>
    <xf numFmtId="2" fontId="0" fillId="0" borderId="0" xfId="0" applyNumberFormat="1" applyBorder="1" applyAlignment="1">
      <alignment/>
    </xf>
    <xf numFmtId="2" fontId="1" fillId="0" borderId="5" xfId="0" applyNumberFormat="1" applyFont="1" applyBorder="1" applyAlignment="1">
      <alignment/>
    </xf>
    <xf numFmtId="2" fontId="0" fillId="0" borderId="6" xfId="0" applyNumberFormat="1" applyBorder="1" applyAlignment="1">
      <alignment/>
    </xf>
    <xf numFmtId="2" fontId="0" fillId="0" borderId="7" xfId="0" applyNumberFormat="1" applyBorder="1" applyAlignment="1">
      <alignment/>
    </xf>
    <xf numFmtId="2" fontId="0" fillId="0" borderId="8" xfId="0" applyNumberFormat="1" applyBorder="1" applyAlignment="1">
      <alignment/>
    </xf>
    <xf numFmtId="2" fontId="7" fillId="0" borderId="8" xfId="0" applyNumberFormat="1" applyFont="1" applyBorder="1" applyAlignment="1">
      <alignment/>
    </xf>
    <xf numFmtId="2" fontId="1" fillId="0" borderId="0" xfId="0" applyNumberFormat="1" applyFont="1" applyAlignment="1">
      <alignment/>
    </xf>
    <xf numFmtId="0" fontId="0" fillId="0" borderId="0" xfId="0" applyFont="1" applyFill="1" applyAlignment="1">
      <alignment/>
    </xf>
    <xf numFmtId="0" fontId="8" fillId="0" borderId="0" xfId="0" applyFont="1" applyAlignment="1">
      <alignment wrapText="1"/>
    </xf>
    <xf numFmtId="0" fontId="7" fillId="0" borderId="0" xfId="0" applyFont="1" applyAlignment="1">
      <alignment/>
    </xf>
    <xf numFmtId="0" fontId="5" fillId="0" borderId="0" xfId="0" applyFont="1" applyAlignment="1">
      <alignment horizontal="center"/>
    </xf>
    <xf numFmtId="0" fontId="5" fillId="0" borderId="0" xfId="0" applyFont="1" applyAlignment="1">
      <alignment horizontal="center"/>
    </xf>
    <xf numFmtId="2" fontId="1" fillId="0" borderId="0" xfId="0" applyNumberFormat="1" applyFont="1" applyAlignment="1">
      <alignment horizontal="left" wrapText="1"/>
    </xf>
    <xf numFmtId="0" fontId="0" fillId="0" borderId="0" xfId="0" applyAlignment="1">
      <alignment horizontal="left"/>
    </xf>
    <xf numFmtId="2" fontId="1" fillId="0" borderId="9" xfId="0" applyNumberFormat="1" applyFont="1" applyBorder="1" applyAlignment="1">
      <alignment/>
    </xf>
    <xf numFmtId="2" fontId="1" fillId="0" borderId="7"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AD77"/>
  <sheetViews>
    <sheetView tabSelected="1" workbookViewId="0" topLeftCell="A1">
      <selection activeCell="A25" sqref="A25"/>
    </sheetView>
  </sheetViews>
  <sheetFormatPr defaultColWidth="11.00390625" defaultRowHeight="12.75"/>
  <cols>
    <col min="1" max="1" width="23.875" style="0" customWidth="1"/>
    <col min="2" max="3" width="11.00390625" style="0" customWidth="1"/>
    <col min="4" max="4" width="11.875" style="0" customWidth="1"/>
    <col min="5" max="5" width="10.875" style="0" customWidth="1"/>
    <col min="6" max="7" width="11.375" style="0" customWidth="1"/>
    <col min="8" max="8" width="10.625" style="0" customWidth="1"/>
    <col min="9" max="9" width="15.625" style="0" customWidth="1"/>
    <col min="10" max="11" width="11.00390625" style="0" customWidth="1"/>
    <col min="12" max="12" width="11.75390625" style="0" customWidth="1"/>
    <col min="13" max="14" width="11.00390625" style="0" customWidth="1"/>
    <col min="15" max="15" width="11.875" style="1" customWidth="1"/>
    <col min="16" max="16" width="15.00390625" style="1" customWidth="1"/>
    <col min="17" max="17" width="15.25390625" style="1" customWidth="1"/>
    <col min="18" max="18" width="16.75390625" style="1" customWidth="1"/>
    <col min="19" max="19" width="15.875" style="1" customWidth="1"/>
    <col min="20" max="20" width="14.625" style="0" customWidth="1"/>
    <col min="21" max="21" width="14.375" style="0" customWidth="1"/>
  </cols>
  <sheetData>
    <row r="1" ht="12.75"/>
    <row r="2" spans="5:19" ht="15">
      <c r="E2" s="53" t="s">
        <v>37</v>
      </c>
      <c r="F2" s="53"/>
      <c r="G2" s="53"/>
      <c r="H2" s="53"/>
      <c r="J2" s="53" t="s">
        <v>36</v>
      </c>
      <c r="K2" s="53"/>
      <c r="L2" s="53"/>
      <c r="M2" s="53"/>
      <c r="P2" s="53" t="s">
        <v>35</v>
      </c>
      <c r="Q2" s="53"/>
      <c r="R2" s="53"/>
      <c r="S2" s="53"/>
    </row>
    <row r="3" spans="5:19" ht="15">
      <c r="E3" s="52"/>
      <c r="F3" s="52"/>
      <c r="G3" s="52"/>
      <c r="H3" s="52"/>
      <c r="S3"/>
    </row>
    <row r="4" spans="1:30" ht="42.75">
      <c r="A4" s="51" t="s">
        <v>38</v>
      </c>
      <c r="B4" s="51" t="s">
        <v>34</v>
      </c>
      <c r="C4" s="51"/>
      <c r="D4" s="6"/>
      <c r="E4" s="50" t="s">
        <v>33</v>
      </c>
      <c r="F4" s="50" t="s">
        <v>32</v>
      </c>
      <c r="G4" s="50" t="s">
        <v>31</v>
      </c>
      <c r="H4" s="50" t="s">
        <v>30</v>
      </c>
      <c r="I4" s="6"/>
      <c r="J4" s="6" t="s">
        <v>29</v>
      </c>
      <c r="K4" s="6" t="s">
        <v>28</v>
      </c>
      <c r="L4" s="6" t="s">
        <v>27</v>
      </c>
      <c r="M4" s="6" t="s">
        <v>26</v>
      </c>
      <c r="N4" s="6"/>
      <c r="O4" s="48"/>
      <c r="P4" s="48" t="s">
        <v>25</v>
      </c>
      <c r="Q4" s="48" t="s">
        <v>24</v>
      </c>
      <c r="R4" s="48" t="s">
        <v>23</v>
      </c>
      <c r="S4" s="36" t="s">
        <v>22</v>
      </c>
      <c r="T4" s="36" t="s">
        <v>21</v>
      </c>
      <c r="V4" s="33"/>
      <c r="W4" s="33"/>
      <c r="X4" s="33"/>
      <c r="Y4" s="4"/>
      <c r="AA4" s="36"/>
      <c r="AB4" s="36"/>
      <c r="AC4" s="36"/>
      <c r="AD4" s="36"/>
    </row>
    <row r="5" spans="1:25" ht="12.75">
      <c r="A5" s="49" t="s">
        <v>20</v>
      </c>
      <c r="B5">
        <v>394.37236</v>
      </c>
      <c r="E5">
        <v>50.8</v>
      </c>
      <c r="G5">
        <f>E5-3.76</f>
        <v>47.04</v>
      </c>
      <c r="H5">
        <f>47.04-24</f>
        <v>23.04</v>
      </c>
      <c r="J5">
        <v>1.78</v>
      </c>
      <c r="K5">
        <v>0.94</v>
      </c>
      <c r="L5">
        <v>1.15</v>
      </c>
      <c r="M5">
        <v>1.07</v>
      </c>
      <c r="O5" s="5"/>
      <c r="P5" s="5">
        <f aca="true" t="shared" si="0" ref="P5:P16">J5/1.9*H5*151/365*B5</f>
        <v>3521.5951597624103</v>
      </c>
      <c r="Q5" s="5">
        <f aca="true" t="shared" si="1" ref="Q5:Q16">K5/1.63*E5*61/365*B5</f>
        <v>1930.844953387545</v>
      </c>
      <c r="R5" s="5">
        <f aca="true" t="shared" si="2" ref="R5:R16">L5/1.97*E5*92/365*B5</f>
        <v>2947.79147618441</v>
      </c>
      <c r="S5" s="2">
        <f>M5/1.8*G5*2/12*B5</f>
        <v>1837.9504742044446</v>
      </c>
      <c r="T5">
        <f aca="true" t="shared" si="3" ref="T5:T16">B5*E5</f>
        <v>20034.115888</v>
      </c>
      <c r="V5" s="4"/>
      <c r="W5" s="33"/>
      <c r="X5" s="33"/>
      <c r="Y5" s="4"/>
    </row>
    <row r="6" spans="1:25" ht="12.75">
      <c r="A6" s="49" t="s">
        <v>19</v>
      </c>
      <c r="B6">
        <v>1151.8740189999999</v>
      </c>
      <c r="E6">
        <v>122.2</v>
      </c>
      <c r="G6">
        <f>E6-46.2</f>
        <v>76</v>
      </c>
      <c r="H6">
        <f>76-72</f>
        <v>4</v>
      </c>
      <c r="J6">
        <v>1.12</v>
      </c>
      <c r="K6">
        <v>1.31</v>
      </c>
      <c r="L6">
        <v>1.29</v>
      </c>
      <c r="M6">
        <v>1.64</v>
      </c>
      <c r="O6" s="5"/>
      <c r="P6" s="5">
        <f t="shared" si="0"/>
        <v>1123.6045225279306</v>
      </c>
      <c r="Q6" s="5">
        <f t="shared" si="1"/>
        <v>18905.877971733826</v>
      </c>
      <c r="R6" s="5">
        <f t="shared" si="2"/>
        <v>23232.42991148769</v>
      </c>
      <c r="S6" s="2">
        <f>M6/1.8*G6*2/12*B6</f>
        <v>13293.47941927407</v>
      </c>
      <c r="T6">
        <f t="shared" si="3"/>
        <v>140759.0051218</v>
      </c>
      <c r="V6" s="4"/>
      <c r="W6" s="4"/>
      <c r="X6" s="17"/>
      <c r="Y6" s="4"/>
    </row>
    <row r="7" spans="1:25" ht="12.75">
      <c r="A7" s="49" t="s">
        <v>18</v>
      </c>
      <c r="B7">
        <v>627.043518</v>
      </c>
      <c r="E7">
        <v>79.7</v>
      </c>
      <c r="G7">
        <f>E7-29.8</f>
        <v>49.900000000000006</v>
      </c>
      <c r="H7">
        <f>49.9-43</f>
        <v>6.899999999999999</v>
      </c>
      <c r="J7">
        <v>1.63</v>
      </c>
      <c r="K7">
        <v>0.81</v>
      </c>
      <c r="L7">
        <v>0.72</v>
      </c>
      <c r="M7">
        <v>1.07</v>
      </c>
      <c r="O7" s="5"/>
      <c r="P7" s="5">
        <f t="shared" si="0"/>
        <v>1535.553173019244</v>
      </c>
      <c r="Q7" s="5">
        <f t="shared" si="1"/>
        <v>4150.4041547744955</v>
      </c>
      <c r="R7" s="5">
        <f t="shared" si="2"/>
        <v>4603.808360748076</v>
      </c>
      <c r="S7" s="2">
        <f>M7/1.8*G7*2/12*B7</f>
        <v>3099.975421905</v>
      </c>
      <c r="T7">
        <f t="shared" si="3"/>
        <v>49975.3683846</v>
      </c>
      <c r="V7" s="4"/>
      <c r="W7" s="4"/>
      <c r="X7" s="17"/>
      <c r="Y7" s="4"/>
    </row>
    <row r="8" spans="1:25" ht="12.75">
      <c r="A8" s="49" t="s">
        <v>17</v>
      </c>
      <c r="B8">
        <v>888.21316</v>
      </c>
      <c r="E8">
        <v>213.2</v>
      </c>
      <c r="F8">
        <v>478.6</v>
      </c>
      <c r="G8">
        <f>E8-93.34+F8</f>
        <v>598.46</v>
      </c>
      <c r="H8">
        <f>598.46-478.6-51</f>
        <v>68.86000000000001</v>
      </c>
      <c r="J8">
        <v>1.76</v>
      </c>
      <c r="K8">
        <v>1.26</v>
      </c>
      <c r="L8">
        <v>0.75</v>
      </c>
      <c r="M8">
        <v>1.67</v>
      </c>
      <c r="O8" s="5"/>
      <c r="P8" s="5">
        <f t="shared" si="0"/>
        <v>23438.368153704654</v>
      </c>
      <c r="Q8" s="5">
        <f t="shared" si="1"/>
        <v>24463.82239419165</v>
      </c>
      <c r="R8" s="5">
        <f t="shared" si="2"/>
        <v>18171.651698947226</v>
      </c>
      <c r="S8" s="2">
        <f>M8/1.8*((G8*2/12)+F8)*B8</f>
        <v>476592.17035579926</v>
      </c>
      <c r="T8">
        <f t="shared" si="3"/>
        <v>189367.045712</v>
      </c>
      <c r="V8" s="4"/>
      <c r="W8" s="4"/>
      <c r="X8" s="17"/>
      <c r="Y8" s="4"/>
    </row>
    <row r="9" spans="1:25" ht="12.75">
      <c r="A9" s="49" t="s">
        <v>16</v>
      </c>
      <c r="B9">
        <v>1625.599258</v>
      </c>
      <c r="E9">
        <v>182.8</v>
      </c>
      <c r="F9">
        <v>750</v>
      </c>
      <c r="G9">
        <f>E9-57.1+F9</f>
        <v>875.7</v>
      </c>
      <c r="H9">
        <f>875.7-750-70</f>
        <v>55.700000000000045</v>
      </c>
      <c r="J9">
        <v>1.53</v>
      </c>
      <c r="K9">
        <v>1.23</v>
      </c>
      <c r="L9">
        <v>1.6</v>
      </c>
      <c r="M9">
        <v>1.78</v>
      </c>
      <c r="O9" s="5"/>
      <c r="P9" s="5">
        <f t="shared" si="0"/>
        <v>30164.115860517286</v>
      </c>
      <c r="Q9" s="5">
        <f t="shared" si="1"/>
        <v>37475.21743593726</v>
      </c>
      <c r="R9" s="5">
        <f t="shared" si="2"/>
        <v>60832.8835687995</v>
      </c>
      <c r="S9" s="2">
        <f>M9/1.8*((G9*2/12)+F9)*B9</f>
        <v>1440272.8145917102</v>
      </c>
      <c r="T9">
        <f t="shared" si="3"/>
        <v>297159.5443624</v>
      </c>
      <c r="V9" s="4"/>
      <c r="W9" s="4"/>
      <c r="X9" s="17"/>
      <c r="Y9" s="4"/>
    </row>
    <row r="10" spans="1:25" ht="12.75">
      <c r="A10" s="49" t="s">
        <v>15</v>
      </c>
      <c r="B10">
        <v>1438.5444899999998</v>
      </c>
      <c r="E10">
        <v>437.8</v>
      </c>
      <c r="F10">
        <v>1258.2</v>
      </c>
      <c r="G10">
        <f>E10-123.8+F10</f>
        <v>1572.2</v>
      </c>
      <c r="H10">
        <f>1572.2-1258.2-251</f>
        <v>63</v>
      </c>
      <c r="J10">
        <v>1.44</v>
      </c>
      <c r="K10">
        <v>1.33</v>
      </c>
      <c r="L10">
        <v>1.33</v>
      </c>
      <c r="M10">
        <v>1.8</v>
      </c>
      <c r="O10" s="5"/>
      <c r="P10" s="5">
        <f t="shared" si="0"/>
        <v>28415.59938868464</v>
      </c>
      <c r="Q10" s="5">
        <f t="shared" si="1"/>
        <v>85881.58722007876</v>
      </c>
      <c r="R10" s="5">
        <f t="shared" si="2"/>
        <v>107171.53049449124</v>
      </c>
      <c r="S10" s="2">
        <f>M10/1.8*((G10*2/12)+F10)*B10</f>
        <v>2186923.285181</v>
      </c>
      <c r="T10">
        <f t="shared" si="3"/>
        <v>629794.7777219999</v>
      </c>
      <c r="V10" s="4"/>
      <c r="W10" s="4"/>
      <c r="X10" s="17"/>
      <c r="Y10" s="4"/>
    </row>
    <row r="11" spans="1:25" ht="12.75">
      <c r="A11" s="49" t="s">
        <v>14</v>
      </c>
      <c r="B11">
        <v>779.04282</v>
      </c>
      <c r="E11">
        <v>44.400000000000006</v>
      </c>
      <c r="G11">
        <f>E11-20</f>
        <v>24.400000000000006</v>
      </c>
      <c r="H11">
        <f>24.4-10</f>
        <v>14.399999999999999</v>
      </c>
      <c r="J11">
        <v>0.67</v>
      </c>
      <c r="K11">
        <v>0.6</v>
      </c>
      <c r="L11">
        <v>0.76</v>
      </c>
      <c r="M11">
        <v>0.79</v>
      </c>
      <c r="O11" s="5"/>
      <c r="P11" s="5">
        <f t="shared" si="0"/>
        <v>1636.549350009171</v>
      </c>
      <c r="Q11" s="5">
        <f t="shared" si="1"/>
        <v>2127.869138940752</v>
      </c>
      <c r="R11" s="5">
        <f t="shared" si="2"/>
        <v>3363.462797390112</v>
      </c>
      <c r="S11" s="2">
        <f aca="true" t="shared" si="4" ref="S11:S16">M11/1.8*G11*2/12*B11</f>
        <v>1390.4471665111114</v>
      </c>
      <c r="T11">
        <f t="shared" si="3"/>
        <v>34589.501208</v>
      </c>
      <c r="V11" s="4"/>
      <c r="W11" s="4"/>
      <c r="X11" s="17"/>
      <c r="Y11" s="4"/>
    </row>
    <row r="12" spans="1:25" ht="12.75">
      <c r="A12" s="49" t="s">
        <v>13</v>
      </c>
      <c r="B12">
        <v>709.45279</v>
      </c>
      <c r="E12">
        <v>382.40000000000003</v>
      </c>
      <c r="G12">
        <f>E12-154.2</f>
        <v>228.20000000000005</v>
      </c>
      <c r="H12">
        <f>228.2-18</f>
        <v>210.2</v>
      </c>
      <c r="J12">
        <v>1.96</v>
      </c>
      <c r="K12">
        <v>1.44</v>
      </c>
      <c r="L12">
        <v>1.5</v>
      </c>
      <c r="M12">
        <v>1.36</v>
      </c>
      <c r="O12" s="5"/>
      <c r="P12" s="5">
        <f t="shared" si="0"/>
        <v>63641.84564168664</v>
      </c>
      <c r="Q12" s="5">
        <f t="shared" si="1"/>
        <v>40054.67781720253</v>
      </c>
      <c r="R12" s="5">
        <f t="shared" si="2"/>
        <v>52066.85914977819</v>
      </c>
      <c r="S12" s="2">
        <f t="shared" si="4"/>
        <v>20387.04558167408</v>
      </c>
      <c r="T12">
        <f t="shared" si="3"/>
        <v>271294.74689600006</v>
      </c>
      <c r="V12" s="4"/>
      <c r="W12" s="4"/>
      <c r="X12" s="17"/>
      <c r="Y12" s="4"/>
    </row>
    <row r="13" spans="1:25" ht="12.75">
      <c r="A13" s="49" t="s">
        <v>12</v>
      </c>
      <c r="B13">
        <v>266.662149</v>
      </c>
      <c r="E13">
        <v>510.3</v>
      </c>
      <c r="G13">
        <f>E13-235.1</f>
        <v>275.20000000000005</v>
      </c>
      <c r="H13">
        <f>275.2-60</f>
        <v>215.2</v>
      </c>
      <c r="J13">
        <v>1.76</v>
      </c>
      <c r="K13">
        <v>1.22</v>
      </c>
      <c r="L13">
        <v>1.69</v>
      </c>
      <c r="M13">
        <v>1.29</v>
      </c>
      <c r="O13" s="5"/>
      <c r="P13" s="5">
        <f t="shared" si="0"/>
        <v>21991.091796633376</v>
      </c>
      <c r="Q13" s="5">
        <f t="shared" si="1"/>
        <v>17021.43379227561</v>
      </c>
      <c r="R13" s="5">
        <f t="shared" si="2"/>
        <v>29424.04556262173</v>
      </c>
      <c r="S13" s="2">
        <f t="shared" si="4"/>
        <v>8765.481128906667</v>
      </c>
      <c r="T13">
        <f t="shared" si="3"/>
        <v>136077.6946347</v>
      </c>
      <c r="V13" s="4"/>
      <c r="W13" s="4"/>
      <c r="X13" s="17"/>
      <c r="Y13" s="4"/>
    </row>
    <row r="14" spans="1:25" ht="12.75">
      <c r="A14" s="49" t="s">
        <v>11</v>
      </c>
      <c r="B14">
        <v>427.9021</v>
      </c>
      <c r="E14">
        <v>357.8</v>
      </c>
      <c r="G14">
        <f>E14-107.1</f>
        <v>250.70000000000002</v>
      </c>
      <c r="H14">
        <f>250.7-28</f>
        <v>222.7</v>
      </c>
      <c r="J14">
        <v>1.97</v>
      </c>
      <c r="K14">
        <v>2</v>
      </c>
      <c r="L14">
        <v>1.97</v>
      </c>
      <c r="M14">
        <v>1.49</v>
      </c>
      <c r="O14" s="5"/>
      <c r="P14" s="5">
        <f t="shared" si="0"/>
        <v>40875.33668766388</v>
      </c>
      <c r="Q14" s="5">
        <f t="shared" si="1"/>
        <v>31395.262305000426</v>
      </c>
      <c r="R14" s="5">
        <f t="shared" si="2"/>
        <v>38590.43881358904</v>
      </c>
      <c r="S14" s="2">
        <f t="shared" si="4"/>
        <v>14799.98464262037</v>
      </c>
      <c r="T14">
        <f t="shared" si="3"/>
        <v>153103.37138000003</v>
      </c>
      <c r="V14" s="4"/>
      <c r="W14" s="4"/>
      <c r="X14" s="17"/>
      <c r="Y14" s="4"/>
    </row>
    <row r="15" spans="1:25" ht="12.75">
      <c r="A15" s="49" t="s">
        <v>10</v>
      </c>
      <c r="B15">
        <v>361.85669</v>
      </c>
      <c r="E15">
        <v>278.7</v>
      </c>
      <c r="G15">
        <f>E15-219</f>
        <v>59.69999999999999</v>
      </c>
      <c r="H15">
        <v>59.69999999999999</v>
      </c>
      <c r="J15">
        <v>1.4</v>
      </c>
      <c r="K15">
        <v>1.53</v>
      </c>
      <c r="L15">
        <v>1.56</v>
      </c>
      <c r="M15">
        <v>1.47</v>
      </c>
      <c r="O15" s="5"/>
      <c r="P15" s="5">
        <f t="shared" si="0"/>
        <v>6585.207360750107</v>
      </c>
      <c r="Q15" s="5">
        <f t="shared" si="1"/>
        <v>15820.287512253117</v>
      </c>
      <c r="R15" s="5">
        <f t="shared" si="2"/>
        <v>20129.21831287193</v>
      </c>
      <c r="S15" s="2">
        <f t="shared" si="4"/>
        <v>2940.3871534916657</v>
      </c>
      <c r="T15">
        <f t="shared" si="3"/>
        <v>100849.459503</v>
      </c>
      <c r="V15" s="4"/>
      <c r="W15" s="4"/>
      <c r="X15" s="17"/>
      <c r="Y15" s="4"/>
    </row>
    <row r="16" spans="1:25" ht="12.75">
      <c r="A16" s="49" t="s">
        <v>9</v>
      </c>
      <c r="B16">
        <v>75.648</v>
      </c>
      <c r="E16">
        <v>652.2</v>
      </c>
      <c r="G16">
        <f>E16-122.5</f>
        <v>529.7</v>
      </c>
      <c r="H16">
        <f>529.7-30</f>
        <v>499.70000000000005</v>
      </c>
      <c r="J16">
        <v>1.99</v>
      </c>
      <c r="K16">
        <v>1.63</v>
      </c>
      <c r="L16">
        <v>1.72</v>
      </c>
      <c r="M16">
        <v>1.67</v>
      </c>
      <c r="O16" s="5"/>
      <c r="P16" s="5">
        <f t="shared" si="0"/>
        <v>16379.112213041099</v>
      </c>
      <c r="Q16" s="5">
        <f t="shared" si="1"/>
        <v>8245.466196164385</v>
      </c>
      <c r="R16" s="5">
        <f t="shared" si="2"/>
        <v>10857.639767671231</v>
      </c>
      <c r="S16" s="2">
        <f t="shared" si="4"/>
        <v>6196.12455111111</v>
      </c>
      <c r="T16">
        <f t="shared" si="3"/>
        <v>49337.6256</v>
      </c>
      <c r="V16" s="4"/>
      <c r="W16" s="4"/>
      <c r="X16" s="17"/>
      <c r="Y16" s="4"/>
    </row>
    <row r="17" spans="15:26" ht="12.75">
      <c r="O17" s="5"/>
      <c r="P17" s="5"/>
      <c r="Q17" s="5"/>
      <c r="R17" s="5"/>
      <c r="S17" s="2"/>
      <c r="V17" s="4"/>
      <c r="W17" s="4"/>
      <c r="X17" s="17"/>
      <c r="Y17" s="4"/>
      <c r="Z17" s="2"/>
    </row>
    <row r="18" spans="1:26" ht="12.75">
      <c r="A18" s="6" t="s">
        <v>8</v>
      </c>
      <c r="B18">
        <f>SUM(B5:B16)</f>
        <v>8746.211354</v>
      </c>
      <c r="D18" t="s">
        <v>7</v>
      </c>
      <c r="E18">
        <f>SUM(E5:E16)</f>
        <v>3312.3</v>
      </c>
      <c r="G18" s="37">
        <f>(SUM(G5*B5+G6*B6+G7*B7+(G8)*B8+(G9)*B9+(G10)*B10+G11*B11+G12*B12+G13*B13+G14*B14+G15*B15+G16*B16))</f>
        <v>4777399.9793026</v>
      </c>
      <c r="H18" s="37">
        <f>(SUM(H5*B5+H6*B6+H7*B7+H8*B8+H9*B9+H10*B10+H11*B11+H12*B12+H13*B13+H14*B14+H15*B15+H16*B16))</f>
        <v>632785.8104565999</v>
      </c>
      <c r="O18" s="48" t="s">
        <v>6</v>
      </c>
      <c r="P18" s="48">
        <f>SUM(P5:P16)</f>
        <v>239307.97930800045</v>
      </c>
      <c r="Q18" s="48">
        <f>SUM(Q5:Q16)</f>
        <v>287472.7508919403</v>
      </c>
      <c r="R18" s="48">
        <f>SUM(R5:R16)</f>
        <v>371391.7599145804</v>
      </c>
      <c r="S18" s="36">
        <f>SUM(S5:S16)</f>
        <v>4176499.145668208</v>
      </c>
      <c r="T18" s="36">
        <f>SUM(T5:T16)</f>
        <v>2072342.2564124998</v>
      </c>
      <c r="V18" s="33"/>
      <c r="W18" s="4"/>
      <c r="X18" s="4"/>
      <c r="Y18" s="4"/>
      <c r="Z18" s="2"/>
    </row>
    <row r="19" spans="15:26" ht="12.75">
      <c r="O19" s="48"/>
      <c r="U19" s="36"/>
      <c r="V19" s="36"/>
      <c r="Z19" s="2"/>
    </row>
    <row r="20" spans="15:26" ht="13.5" thickBot="1">
      <c r="O20" s="48"/>
      <c r="P20" s="5"/>
      <c r="Q20" s="48"/>
      <c r="R20" s="48"/>
      <c r="S20" s="48"/>
      <c r="T20" s="48"/>
      <c r="U20" s="36"/>
      <c r="V20" s="36"/>
      <c r="Z20" s="2"/>
    </row>
    <row r="21" spans="15:26" ht="18.75" thickBot="1">
      <c r="O21" s="56"/>
      <c r="P21" s="57"/>
      <c r="Q21" s="47" t="s">
        <v>5</v>
      </c>
      <c r="R21" s="46"/>
      <c r="S21" s="45"/>
      <c r="T21" s="44"/>
      <c r="U21" s="2"/>
      <c r="V21" s="2"/>
      <c r="Z21" s="2"/>
    </row>
    <row r="22" spans="15:26" ht="12.75">
      <c r="O22" s="43"/>
      <c r="P22" s="42"/>
      <c r="Q22" s="42"/>
      <c r="R22" s="42"/>
      <c r="S22" s="42"/>
      <c r="T22" s="41"/>
      <c r="U22" s="2"/>
      <c r="V22" s="2"/>
      <c r="Z22" s="2"/>
    </row>
    <row r="23" spans="15:26" ht="12.75">
      <c r="O23" s="40" t="s">
        <v>4</v>
      </c>
      <c r="P23" s="13"/>
      <c r="Q23" s="39" t="s">
        <v>44</v>
      </c>
      <c r="R23" s="39" t="s">
        <v>43</v>
      </c>
      <c r="S23" s="39" t="s">
        <v>42</v>
      </c>
      <c r="T23" s="38" t="s">
        <v>41</v>
      </c>
      <c r="U23" s="2"/>
      <c r="V23" s="2"/>
      <c r="Z23" s="2"/>
    </row>
    <row r="24" spans="3:26" ht="15">
      <c r="C24" s="11" t="s">
        <v>3</v>
      </c>
      <c r="O24" s="15">
        <v>1</v>
      </c>
      <c r="P24" s="13"/>
      <c r="Q24" s="29">
        <f>E26/(243*0.03*365)</f>
        <v>761.9151774808802</v>
      </c>
      <c r="R24" s="29">
        <v>761.9151774808802</v>
      </c>
      <c r="S24" s="29">
        <v>761.9151774808802</v>
      </c>
      <c r="T24" s="32">
        <v>761.9151774808802</v>
      </c>
      <c r="U24" s="2"/>
      <c r="V24" s="2"/>
      <c r="Z24" s="2"/>
    </row>
    <row r="25" spans="9:26" ht="12.75">
      <c r="I25" s="4"/>
      <c r="O25" s="15"/>
      <c r="P25" s="13"/>
      <c r="Q25" s="29"/>
      <c r="R25" s="29"/>
      <c r="S25" s="29"/>
      <c r="T25" s="32"/>
      <c r="U25" s="36"/>
      <c r="V25" s="36"/>
      <c r="Z25" s="2"/>
    </row>
    <row r="26" spans="3:26" ht="12.75" customHeight="1">
      <c r="C26" s="31" t="s">
        <v>2</v>
      </c>
      <c r="D26" s="31"/>
      <c r="E26" s="31">
        <v>2027342</v>
      </c>
      <c r="I26" s="4"/>
      <c r="O26" s="23" t="s">
        <v>1</v>
      </c>
      <c r="P26" s="13"/>
      <c r="Q26" s="29">
        <f>(E26*151/365)/(243*0.03*151)</f>
        <v>761.9151774808802</v>
      </c>
      <c r="R26" s="29">
        <v>762</v>
      </c>
      <c r="S26" s="29">
        <v>761.9151774808802</v>
      </c>
      <c r="T26" s="32">
        <f>G18/(E30*61)</f>
        <v>15131.28778523225</v>
      </c>
      <c r="U26" s="2"/>
      <c r="V26" s="36"/>
      <c r="Z26" s="2"/>
    </row>
    <row r="27" spans="3:26" ht="12.75">
      <c r="C27" t="s">
        <v>0</v>
      </c>
      <c r="E27" s="37">
        <f>((320*58)+(225*100)+(135*24))/(100+58+24)</f>
        <v>243.4065934065934</v>
      </c>
      <c r="I27" s="4"/>
      <c r="O27" s="23" t="s">
        <v>75</v>
      </c>
      <c r="P27" s="13"/>
      <c r="Q27" s="29">
        <f>((E26*151/365)-E43-E44)/(7.29*151)</f>
        <v>722.9959694575515</v>
      </c>
      <c r="R27" s="29">
        <v>680</v>
      </c>
      <c r="S27" s="29">
        <f>(R18-G46-G47)/(7.29*92)</f>
        <v>540.2428690501885</v>
      </c>
      <c r="T27" s="32">
        <f>(G18-H46-H47)/(7.29*61)</f>
        <v>10729.629324479074</v>
      </c>
      <c r="U27" s="2"/>
      <c r="V27" s="36"/>
      <c r="Z27" s="2"/>
    </row>
    <row r="28" spans="15:26" ht="12.75">
      <c r="O28" s="15"/>
      <c r="P28" s="13"/>
      <c r="Q28" s="29"/>
      <c r="R28" s="29"/>
      <c r="S28" s="29"/>
      <c r="T28" s="32"/>
      <c r="U28" s="17"/>
      <c r="V28" s="33"/>
      <c r="Z28" s="2"/>
    </row>
    <row r="29" spans="3:26" ht="12.75">
      <c r="C29" s="1" t="s">
        <v>74</v>
      </c>
      <c r="E29" s="1">
        <f>243*0.03</f>
        <v>7.29</v>
      </c>
      <c r="O29" s="15"/>
      <c r="P29" s="13"/>
      <c r="Q29" s="35"/>
      <c r="R29" s="35"/>
      <c r="S29" s="35"/>
      <c r="T29" s="34"/>
      <c r="U29" s="17"/>
      <c r="V29" s="33"/>
      <c r="Z29" s="2"/>
    </row>
    <row r="30" spans="3:26" ht="12.75">
      <c r="C30" s="1" t="s">
        <v>73</v>
      </c>
      <c r="E30" s="1">
        <f>7.29*0.71</f>
        <v>5.1758999999999995</v>
      </c>
      <c r="H30" s="4"/>
      <c r="I30" s="4"/>
      <c r="O30" s="23" t="s">
        <v>72</v>
      </c>
      <c r="P30" s="13"/>
      <c r="Q30" s="29">
        <f>(E26*151/365)/(5.18*151)</f>
        <v>1072.2705876130533</v>
      </c>
      <c r="R30" s="29">
        <v>762</v>
      </c>
      <c r="S30" s="29">
        <f>(E26*92/365)/(7.29*92)</f>
        <v>761.9151774808802</v>
      </c>
      <c r="T30" s="32">
        <f>(G18)/(7.29*61)</f>
        <v>10743.214327514897</v>
      </c>
      <c r="Z30" s="2"/>
    </row>
    <row r="31" spans="8:26" ht="12.75">
      <c r="H31" s="4"/>
      <c r="I31" s="4"/>
      <c r="O31" s="23" t="s">
        <v>71</v>
      </c>
      <c r="P31" s="13"/>
      <c r="Q31" s="22">
        <f>((E26*151/365)-E43-E44)/(5.18*151)</f>
        <v>1017.4981886767472</v>
      </c>
      <c r="R31" s="22">
        <f>(E26*61/365-F43-F44)/(7.29*61)</f>
        <v>723.3787813397482</v>
      </c>
      <c r="S31" s="22">
        <f>(E26*92/365-G43-G44)/(7.29*92)</f>
        <v>723.5882182752978</v>
      </c>
      <c r="T31" s="24">
        <f>(G18-H43-H44)/(7.29*61)</f>
        <v>10699.26067440824</v>
      </c>
      <c r="Z31" s="2"/>
    </row>
    <row r="32" spans="9:26" ht="12.75">
      <c r="I32" s="4"/>
      <c r="O32" s="23"/>
      <c r="P32" s="13"/>
      <c r="Q32" s="22"/>
      <c r="R32" s="29"/>
      <c r="S32" s="29"/>
      <c r="T32" s="21"/>
      <c r="Z32" s="2"/>
    </row>
    <row r="33" spans="3:26" ht="15">
      <c r="C33" s="11" t="s">
        <v>70</v>
      </c>
      <c r="I33" s="4"/>
      <c r="O33" s="23" t="s">
        <v>69</v>
      </c>
      <c r="P33" s="13"/>
      <c r="Q33" s="22">
        <f>(E26*151/365)/(5.18*151)</f>
        <v>1072.2705876130533</v>
      </c>
      <c r="R33" s="29">
        <v>761.9151774808802</v>
      </c>
      <c r="S33" s="29">
        <v>761.9151774808802</v>
      </c>
      <c r="T33" s="24">
        <v>10743.214327514897</v>
      </c>
      <c r="Z33" s="2"/>
    </row>
    <row r="34" spans="6:20" ht="12.75">
      <c r="F34" s="6" t="s">
        <v>68</v>
      </c>
      <c r="H34" s="4"/>
      <c r="I34" s="4"/>
      <c r="O34" s="23" t="s">
        <v>67</v>
      </c>
      <c r="P34" s="13"/>
      <c r="Q34" s="22">
        <f>((E26*151/365)-E43-E47)/(5.18*151)</f>
        <v>1030.1255890193793</v>
      </c>
      <c r="R34" s="29">
        <f>((E26*2/12)-F43-F47)/(7.29*61)</f>
        <v>730.1813473056136</v>
      </c>
      <c r="S34" s="29">
        <f>((E26*3/12)-G43-G47)/(7.29*92)</f>
        <v>726.2129704180832</v>
      </c>
      <c r="T34" s="24">
        <f>((G18)-H43-H47)/(7.29*61)</f>
        <v>10713.562232797229</v>
      </c>
    </row>
    <row r="35" spans="4:20" ht="12.75">
      <c r="D35" t="s">
        <v>66</v>
      </c>
      <c r="E35" t="s">
        <v>65</v>
      </c>
      <c r="F35" s="31" t="s">
        <v>56</v>
      </c>
      <c r="G35" s="31" t="s">
        <v>64</v>
      </c>
      <c r="H35" s="4"/>
      <c r="I35" s="4"/>
      <c r="O35" s="23"/>
      <c r="P35" s="13"/>
      <c r="Q35" s="22"/>
      <c r="R35" s="29"/>
      <c r="S35" s="29"/>
      <c r="T35" s="21"/>
    </row>
    <row r="36" spans="3:20" ht="12.75">
      <c r="C36" t="s">
        <v>51</v>
      </c>
      <c r="D36" s="30">
        <v>15</v>
      </c>
      <c r="E36" t="s">
        <v>63</v>
      </c>
      <c r="F36">
        <f>D36*450*0.03*365</f>
        <v>73912.5</v>
      </c>
      <c r="G36">
        <f>D36*450*0.03*0.42*365</f>
        <v>31043.25</v>
      </c>
      <c r="H36" s="4"/>
      <c r="I36" s="4"/>
      <c r="O36" s="23" t="s">
        <v>62</v>
      </c>
      <c r="P36" s="13"/>
      <c r="Q36" s="22">
        <f>H18/(5.18*151)</f>
        <v>809.0028004507914</v>
      </c>
      <c r="R36" s="29">
        <v>761.9151774808802</v>
      </c>
      <c r="S36" s="29">
        <v>761.9151774808802</v>
      </c>
      <c r="T36" s="21">
        <f>(G18)/(E29*61)</f>
        <v>10743.214327514897</v>
      </c>
    </row>
    <row r="37" spans="3:20" ht="12.75">
      <c r="C37" t="s">
        <v>49</v>
      </c>
      <c r="D37" s="30">
        <v>30</v>
      </c>
      <c r="E37" t="s">
        <v>61</v>
      </c>
      <c r="F37">
        <f>D37*88*0.03*365</f>
        <v>28908</v>
      </c>
      <c r="G37">
        <f>D37*88*0.03*365*0.18</f>
        <v>5203.44</v>
      </c>
      <c r="H37" s="4"/>
      <c r="O37" s="23" t="s">
        <v>60</v>
      </c>
      <c r="P37" s="13"/>
      <c r="Q37" s="22">
        <f>(H18-E46-E47)/(5.18*151)</f>
        <v>789.6942173880692</v>
      </c>
      <c r="R37" s="29">
        <v>730.1813473056136</v>
      </c>
      <c r="S37" s="29">
        <v>726.2129704180832</v>
      </c>
      <c r="T37" s="21">
        <f>(G18-H46-H47)/(E29*61)</f>
        <v>10729.629324479074</v>
      </c>
    </row>
    <row r="38" spans="8:20" ht="12.75">
      <c r="H38" s="4"/>
      <c r="O38" s="23"/>
      <c r="P38" s="13"/>
      <c r="Q38" s="22"/>
      <c r="R38" s="22"/>
      <c r="S38" s="22"/>
      <c r="T38" s="21"/>
    </row>
    <row r="39" spans="15:20" ht="12.75">
      <c r="O39" s="23" t="s">
        <v>59</v>
      </c>
      <c r="P39" s="13"/>
      <c r="Q39" s="22">
        <f>P18/(5.18*151)</f>
        <v>305.9500106215966</v>
      </c>
      <c r="R39" s="22">
        <f>Q18/(7.29*60)</f>
        <v>657.2307976496121</v>
      </c>
      <c r="S39" s="22">
        <f>R18/(7.29*90)</f>
        <v>566.059685893279</v>
      </c>
      <c r="T39" s="24">
        <f>S18/(7.29*61)</f>
        <v>9391.934034199574</v>
      </c>
    </row>
    <row r="40" spans="6:20" ht="12.75">
      <c r="F40" s="6" t="s">
        <v>58</v>
      </c>
      <c r="G40" s="6"/>
      <c r="O40" s="23" t="s">
        <v>57</v>
      </c>
      <c r="P40" s="13"/>
      <c r="Q40" s="22">
        <f>(P18-E43-E47)/(5.18*150)</f>
        <v>265.5637121081087</v>
      </c>
      <c r="R40" s="22">
        <f>(Q18-F43-F47)/(7.29*60)</f>
        <v>627.0845013533158</v>
      </c>
      <c r="S40" s="22">
        <f>(R18-G43-G47)/(7.29*90)</f>
        <v>535.9133895969827</v>
      </c>
      <c r="T40" s="24">
        <f>(S18-H43-H47)/(7.29*61)</f>
        <v>9362.281939481903</v>
      </c>
    </row>
    <row r="41" spans="5:20" ht="12.75">
      <c r="E41" t="s">
        <v>44</v>
      </c>
      <c r="F41" t="s">
        <v>43</v>
      </c>
      <c r="G41" t="s">
        <v>42</v>
      </c>
      <c r="H41" t="s">
        <v>41</v>
      </c>
      <c r="O41" s="23"/>
      <c r="P41" s="13"/>
      <c r="Q41" s="22"/>
      <c r="R41" s="22"/>
      <c r="S41" s="22"/>
      <c r="T41" s="24"/>
    </row>
    <row r="42" spans="3:20" ht="12.75">
      <c r="C42" s="6" t="s">
        <v>56</v>
      </c>
      <c r="N42" s="5"/>
      <c r="O42" s="28" t="s">
        <v>55</v>
      </c>
      <c r="P42" s="27"/>
      <c r="Q42" s="26">
        <f>E53/(5.18*151)</f>
        <v>124.26186204191349</v>
      </c>
      <c r="R42" s="26">
        <f>F53/(7.29*61)</f>
        <v>224.88130974096362</v>
      </c>
      <c r="S42" s="26">
        <f>G53/(7.29*92)</f>
        <v>194.75009002844598</v>
      </c>
      <c r="T42" s="25">
        <f>H53/(7.29*61)</f>
        <v>2377.8295940576645</v>
      </c>
    </row>
    <row r="43" spans="3:20" ht="12.75">
      <c r="C43" s="20" t="s">
        <v>51</v>
      </c>
      <c r="D43" s="19"/>
      <c r="E43" s="18">
        <f>F36*5/12</f>
        <v>30796.875</v>
      </c>
      <c r="F43" s="18">
        <f>F36*2/12</f>
        <v>12318.75</v>
      </c>
      <c r="G43" s="18">
        <f>F36*3/12</f>
        <v>18478.125</v>
      </c>
      <c r="H43" s="17">
        <f>F36*2/12</f>
        <v>12318.75</v>
      </c>
      <c r="O43" s="28" t="s">
        <v>54</v>
      </c>
      <c r="P43" s="27"/>
      <c r="Q43" s="26">
        <f>(E53-E43-E47)/(5.18*151)</f>
        <v>82.11686344823939</v>
      </c>
      <c r="R43" s="26">
        <f>(F53-F43-F47)/(7.29*61)</f>
        <v>195.2292150232951</v>
      </c>
      <c r="S43" s="26">
        <f>(G53-G43-G47)/(7.29*92)</f>
        <v>165.25914799946045</v>
      </c>
      <c r="T43" s="25">
        <f>(H53-H43-H47)/(7.29*61)</f>
        <v>2348.177499339996</v>
      </c>
    </row>
    <row r="44" spans="3:20" ht="12.75">
      <c r="C44" s="20" t="s">
        <v>49</v>
      </c>
      <c r="D44" s="19"/>
      <c r="E44" s="18">
        <f>F37*5/12</f>
        <v>12045</v>
      </c>
      <c r="F44" s="18">
        <f>F37*2/12</f>
        <v>4818</v>
      </c>
      <c r="G44" s="18">
        <f>F37*3/12</f>
        <v>7227</v>
      </c>
      <c r="H44" s="18">
        <f>F37*3/12</f>
        <v>7227</v>
      </c>
      <c r="O44" s="23"/>
      <c r="P44" s="13"/>
      <c r="Q44" s="22"/>
      <c r="R44" s="22"/>
      <c r="S44" s="22"/>
      <c r="T44" s="24"/>
    </row>
    <row r="45" spans="3:20" ht="12.75">
      <c r="C45" s="6" t="s">
        <v>53</v>
      </c>
      <c r="O45" s="23" t="s">
        <v>52</v>
      </c>
      <c r="P45" s="13"/>
      <c r="Q45" s="22">
        <f>(P5*0.25+P6*0.25+P7*0.25+P8*0.25+P9*0.25+P10*0.25+P11*0.25+P12*0.5+P13*0.5+P14*0.5+P15*0.5)/(5.18*151)</f>
        <v>113.791693913707</v>
      </c>
      <c r="R45" s="22">
        <f>((Q5*0.25+Q6*0.25+Q7*0.25+Q8*0.25+Q9*0.25+Q10*0.25+Q11*0.25+Q12*0.5+Q13*0.5+Q14*0.5+Q15*0.5))/(7.29*61)</f>
        <v>215.61028251282224</v>
      </c>
      <c r="S45" s="22">
        <f>((R5*0.25+R6*0.25+R7*0.25+R8*0.25+R9*0.25+R10*0.25+R11*0.25+R12*0.5+R13*0.5+R14*0.5+R15*0.5))/(7.29*92)</f>
        <v>186.65558909829207</v>
      </c>
      <c r="T45" s="24">
        <f>((S5*0.25+S6*0.25+S7*0.25+S8*0.25+S9*0.25+S10*0.25+S11*0.25+S12*0.5+S13*0.5+S14*0.5+S15*0.5))/(7.29*61)</f>
        <v>2370.8628030896743</v>
      </c>
    </row>
    <row r="46" spans="3:20" ht="12.75">
      <c r="C46" s="20" t="s">
        <v>51</v>
      </c>
      <c r="D46" s="19"/>
      <c r="E46" s="18">
        <f>G36*5/12</f>
        <v>12934.6875</v>
      </c>
      <c r="F46" s="18">
        <f>G36*2/12</f>
        <v>5173.875</v>
      </c>
      <c r="G46" s="18">
        <f>G36*3/12</f>
        <v>7760.8125</v>
      </c>
      <c r="H46" s="18">
        <f>G36*2/12</f>
        <v>5173.875</v>
      </c>
      <c r="O46" s="23" t="s">
        <v>50</v>
      </c>
      <c r="P46" s="13"/>
      <c r="Q46" s="22">
        <f>((P5*0.25+P6*0.25+P7*0.25+P8*0.25+P9*0.25+P10*0.25+P11*0.25+P12*0.5+P13*0.5+P14*0.5+P15*0.5)-E43-E47)/(E30*151)</f>
        <v>71.70344901519937</v>
      </c>
      <c r="R46" s="22">
        <f>((Q5*0.25+Q6*0.25+Q7*0.25+Q8*0.25+Q9*0.25+Q10*0.25+Q11*0.25+Q12*0.5+Q13*0.5+Q14*0.5+Q15*0.5)-F43-F47)/(7.29*61)</f>
        <v>185.95818779515375</v>
      </c>
      <c r="S46" s="22">
        <f>((R5*0.25+R6*0.25+R7*0.25+R8*0.25+R9*0.25+R10*0.25+R11*0.25+R12*0.5+R13*0.5+R14*0.5+R15*0.5)-G43-G47)/(7.29*92)</f>
        <v>157.16464706930657</v>
      </c>
      <c r="T46" s="21">
        <f>((S5*0.25+S6*0.25+S7*0.25+S8*0.25+S9*0.25+S10*0.25+S11*0.25+S12*0.5+S13*0.5+S14*0.5+S15*0.5)-H43-H47)/(7.29*61)</f>
        <v>2341.210708372006</v>
      </c>
    </row>
    <row r="47" spans="3:20" ht="12.75">
      <c r="C47" s="20" t="s">
        <v>49</v>
      </c>
      <c r="D47" s="19"/>
      <c r="E47" s="18">
        <f>G37*5/12</f>
        <v>2168.1</v>
      </c>
      <c r="F47" s="18">
        <f>G37*2/12</f>
        <v>867.2399999999999</v>
      </c>
      <c r="G47" s="18">
        <f>G37*3/12</f>
        <v>1300.86</v>
      </c>
      <c r="H47" s="17">
        <f>G37*2/12</f>
        <v>867.2399999999999</v>
      </c>
      <c r="O47" s="16"/>
      <c r="P47" s="13"/>
      <c r="Q47" s="13"/>
      <c r="R47" s="13"/>
      <c r="S47" s="13"/>
      <c r="T47" s="12"/>
    </row>
    <row r="48" spans="15:20" ht="12.75">
      <c r="O48" s="15"/>
      <c r="P48" s="13"/>
      <c r="Q48" s="13"/>
      <c r="R48" s="13"/>
      <c r="S48" s="13"/>
      <c r="T48" s="12"/>
    </row>
    <row r="49" spans="15:20" ht="12.75">
      <c r="O49" s="14" t="s">
        <v>48</v>
      </c>
      <c r="P49" s="13"/>
      <c r="Q49" s="13"/>
      <c r="R49" s="13"/>
      <c r="S49" s="13"/>
      <c r="T49" s="12"/>
    </row>
    <row r="50" spans="3:20" ht="15.75" thickBot="1">
      <c r="C50" s="11" t="s">
        <v>47</v>
      </c>
      <c r="O50" s="10" t="s">
        <v>46</v>
      </c>
      <c r="P50" s="9"/>
      <c r="Q50" s="8"/>
      <c r="R50" s="8"/>
      <c r="S50" s="8"/>
      <c r="T50" s="7"/>
    </row>
    <row r="51" ht="12.75">
      <c r="F51" s="6" t="s">
        <v>45</v>
      </c>
    </row>
    <row r="52" spans="5:16" ht="12.75">
      <c r="E52" t="s">
        <v>44</v>
      </c>
      <c r="F52" t="s">
        <v>43</v>
      </c>
      <c r="G52" t="s">
        <v>42</v>
      </c>
      <c r="H52" t="s">
        <v>41</v>
      </c>
      <c r="P52"/>
    </row>
    <row r="53" spans="3:8" ht="12.75">
      <c r="C53" s="54" t="s">
        <v>40</v>
      </c>
      <c r="D53" s="54"/>
      <c r="E53" s="5">
        <f>P5*0.25+P6*0.25+P7*0.25+P8*0.25+P9*0.25+P10*0.25+P11*0.25+P12*0.5+P13*0.5+P14*0.5+P15*0.5+P16*0.5</f>
        <v>97195.14325194388</v>
      </c>
      <c r="F53" s="5">
        <f>Q5*0.25+Q6*0.25+Q7*0.25+Q8*0.25+Q9*0.25+Q10*0.25+Q11*0.25+Q12*0.5+Q13*0.5+Q14*0.5+Q15*0.5+Q16*0.5</f>
        <v>100002.4696287091</v>
      </c>
      <c r="G53" s="5">
        <f>R5*0.25+R6*0.25+R7*0.25+R8*0.25+R9*0.25+R10*0.25+R11*0.25+R12*0.5+R13*0.5+R14*0.5+R15*0.5+R16*0.5</f>
        <v>130614.99038027813</v>
      </c>
      <c r="H53" s="5">
        <f>S5*0.25+S6*0.25+S7*0.25+S8*0.25+S9*0.25+S10*0.25+S11*0.25+S12*0.5+S13*0.5+S14*0.5+S15*0.5+S16*0.5</f>
        <v>1057397.0421815028</v>
      </c>
    </row>
    <row r="54" spans="3:4" s="4" customFormat="1" ht="12.75">
      <c r="C54" s="55"/>
      <c r="D54" s="55"/>
    </row>
    <row r="55" spans="3:4" s="4" customFormat="1" ht="12.75">
      <c r="C55" s="55"/>
      <c r="D55" s="55"/>
    </row>
    <row r="56" spans="3:4" ht="12.75">
      <c r="C56" s="55"/>
      <c r="D56" s="55"/>
    </row>
    <row r="57" spans="3:4" ht="12.75">
      <c r="C57" s="55"/>
      <c r="D57" s="55"/>
    </row>
    <row r="60" spans="17:20" ht="12.75">
      <c r="Q60" s="3"/>
      <c r="R60" s="3"/>
      <c r="S60" s="3"/>
      <c r="T60" s="3"/>
    </row>
    <row r="70" spans="17:19" ht="12.75">
      <c r="Q70"/>
      <c r="R70"/>
      <c r="S70"/>
    </row>
    <row r="71" spans="17:19" ht="12.75">
      <c r="Q71"/>
      <c r="R71"/>
      <c r="S71"/>
    </row>
    <row r="72" spans="17:19" ht="12.75">
      <c r="Q72"/>
      <c r="R72"/>
      <c r="S72"/>
    </row>
    <row r="73" spans="17:19" ht="12.75">
      <c r="Q73"/>
      <c r="R73"/>
      <c r="S73"/>
    </row>
    <row r="74" spans="17:19" ht="12.75">
      <c r="Q74"/>
      <c r="R74"/>
      <c r="S74"/>
    </row>
    <row r="75" spans="17:19" ht="12.75">
      <c r="Q75"/>
      <c r="R75"/>
      <c r="S75"/>
    </row>
    <row r="76" spans="17:19" ht="12.75">
      <c r="Q76"/>
      <c r="R76" s="2"/>
      <c r="S76"/>
    </row>
    <row r="77" spans="17:19" ht="12.75">
      <c r="Q77"/>
      <c r="R77"/>
      <c r="S77"/>
    </row>
  </sheetData>
  <mergeCells count="5">
    <mergeCell ref="P2:S2"/>
    <mergeCell ref="C53:D57"/>
    <mergeCell ref="O21:P21"/>
    <mergeCell ref="E2:H2"/>
    <mergeCell ref="J2:M2"/>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4:A4"/>
  <sheetViews>
    <sheetView workbookViewId="0" topLeftCell="A1">
      <selection activeCell="A4" sqref="A4"/>
    </sheetView>
  </sheetViews>
  <sheetFormatPr defaultColWidth="11.00390625" defaultRowHeight="12.75"/>
  <sheetData>
    <row r="4" ht="12.75">
      <c r="A4" t="s">
        <v>39</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Calgary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Jesse Chambers</dc:creator>
  <cp:keywords/>
  <dc:description/>
  <cp:lastModifiedBy>Jesse Chambers</cp:lastModifiedBy>
  <dcterms:created xsi:type="dcterms:W3CDTF">2010-05-07T15:27:15Z</dcterms:created>
  <dcterms:modified xsi:type="dcterms:W3CDTF">2010-05-12T16:56:21Z</dcterms:modified>
  <cp:category/>
  <cp:version/>
  <cp:contentType/>
  <cp:contentStatus/>
</cp:coreProperties>
</file>