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300" activeTab="0"/>
  </bookViews>
  <sheets>
    <sheet name="AK Route- Option 1" sheetId="1" r:id="rId1"/>
    <sheet name="Multi-Modal Bridges" sheetId="2" r:id="rId2"/>
    <sheet name="AK Hwy Bridges" sheetId="3" r:id="rId3"/>
  </sheets>
  <externalReferences>
    <externalReference r:id="rId6"/>
  </externalReferences>
  <definedNames>
    <definedName name="_xlnm.Print_Area" localSheetId="1">'Multi-Modal Bridges'!$B$27:$I$121</definedName>
  </definedNames>
  <calcPr fullCalcOnLoad="1"/>
</workbook>
</file>

<file path=xl/sharedStrings.xml><?xml version="1.0" encoding="utf-8"?>
<sst xmlns="http://schemas.openxmlformats.org/spreadsheetml/2006/main" count="523" uniqueCount="194">
  <si>
    <t>Miles total</t>
  </si>
  <si>
    <t xml:space="preserve">            </t>
  </si>
  <si>
    <t>NO.</t>
  </si>
  <si>
    <t>DIST (ft)</t>
  </si>
  <si>
    <t>RADIUS (ft)</t>
  </si>
  <si>
    <t>DEG</t>
  </si>
  <si>
    <t>Acculmal</t>
  </si>
  <si>
    <t>Area</t>
  </si>
  <si>
    <t>Ave</t>
  </si>
  <si>
    <t>Tons</t>
  </si>
  <si>
    <t>Cut</t>
  </si>
  <si>
    <t>Sq Ft</t>
  </si>
  <si>
    <t>Fill</t>
  </si>
  <si>
    <t>Cu Yds</t>
  </si>
  <si>
    <t xml:space="preserve">Ave </t>
  </si>
  <si>
    <t>Borrow</t>
  </si>
  <si>
    <t>Ballast</t>
  </si>
  <si>
    <t>LF</t>
  </si>
  <si>
    <t>Clearing &amp; Grubbing</t>
  </si>
  <si>
    <t>Acre</t>
  </si>
  <si>
    <t>Hand Clearing</t>
  </si>
  <si>
    <t>Cu Yd</t>
  </si>
  <si>
    <t>Select Material</t>
  </si>
  <si>
    <t>Rock Excavation</t>
  </si>
  <si>
    <t>Sub Ballast</t>
  </si>
  <si>
    <t>Concrete Ties</t>
  </si>
  <si>
    <t>Each</t>
  </si>
  <si>
    <t>Mainline Delta Border</t>
  </si>
  <si>
    <t>Highway Route</t>
  </si>
  <si>
    <t>141 Lb Rail</t>
  </si>
  <si>
    <t>x</t>
  </si>
  <si>
    <t>36" Pipe</t>
  </si>
  <si>
    <t>Sq Yd</t>
  </si>
  <si>
    <t>Ton</t>
  </si>
  <si>
    <t>Geotextile</t>
  </si>
  <si>
    <t xml:space="preserve">Hwy Undercrossing </t>
  </si>
  <si>
    <t>Survey</t>
  </si>
  <si>
    <t>Highway Undercrossing</t>
  </si>
  <si>
    <t>Pipe</t>
  </si>
  <si>
    <t>Unit</t>
  </si>
  <si>
    <t>Quantity</t>
  </si>
  <si>
    <t>Price</t>
  </si>
  <si>
    <t>Amount</t>
  </si>
  <si>
    <t>Base Course</t>
  </si>
  <si>
    <t>Asphalt Cement</t>
  </si>
  <si>
    <t xml:space="preserve">Pavement </t>
  </si>
  <si>
    <t>Prime Coat</t>
  </si>
  <si>
    <t>Traffic Control</t>
  </si>
  <si>
    <t>All Req'd</t>
  </si>
  <si>
    <t>Striping</t>
  </si>
  <si>
    <t>Tunnel</t>
  </si>
  <si>
    <t>Insulation</t>
  </si>
  <si>
    <t>Switches</t>
  </si>
  <si>
    <t>Seeding Landscaping</t>
  </si>
  <si>
    <t>Mob Demob</t>
  </si>
  <si>
    <t>Construction Survey</t>
  </si>
  <si>
    <t>Erosion/Sedment Control</t>
  </si>
  <si>
    <t>Lump Sum</t>
  </si>
  <si>
    <t>Sub Total</t>
  </si>
  <si>
    <t>Bridges</t>
  </si>
  <si>
    <t>+20% Contingencies</t>
  </si>
  <si>
    <t>+15% Construction Eng</t>
  </si>
  <si>
    <t>Total</t>
  </si>
  <si>
    <t>Ballpark estimate (6 M/Mi)</t>
  </si>
  <si>
    <t>Design Engineering</t>
  </si>
  <si>
    <t>Right of Way</t>
  </si>
  <si>
    <t>Environmental/Permitting</t>
  </si>
  <si>
    <t>Sidings</t>
  </si>
  <si>
    <t>Major</t>
  </si>
  <si>
    <t>Standard</t>
  </si>
  <si>
    <t>MOW</t>
  </si>
  <si>
    <t>miles</t>
  </si>
  <si>
    <t>feet</t>
  </si>
  <si>
    <t xml:space="preserve">Crossing </t>
  </si>
  <si>
    <t>Name</t>
  </si>
  <si>
    <t>Lat</t>
  </si>
  <si>
    <t>Long</t>
  </si>
  <si>
    <t>Bidge</t>
  </si>
  <si>
    <t>Length</t>
  </si>
  <si>
    <t>Width</t>
  </si>
  <si>
    <t>area (sq ft)</t>
  </si>
  <si>
    <t>Record</t>
  </si>
  <si>
    <t>Desper Creek</t>
  </si>
  <si>
    <t>Sweetwater Creek</t>
  </si>
  <si>
    <t>Gardiner Creek; MP 24.2; near Tetlin</t>
  </si>
  <si>
    <t>Ten Mile Creek</t>
  </si>
  <si>
    <t>Silver Creek</t>
  </si>
  <si>
    <t>Beaver Creek</t>
  </si>
  <si>
    <t>Bitters Creek</t>
  </si>
  <si>
    <t>Tanana River</t>
  </si>
  <si>
    <t>Tok River</t>
  </si>
  <si>
    <t>Tract A</t>
  </si>
  <si>
    <t>Yerrick Creek; MP 110.8 (Fairbanks)</t>
  </si>
  <si>
    <t>Cathedral Rapids No. 1</t>
  </si>
  <si>
    <t>Cathedral Rapids No. 2</t>
  </si>
  <si>
    <t>Sheep Creek (bridge/culvert)</t>
  </si>
  <si>
    <t xml:space="preserve"> </t>
  </si>
  <si>
    <t>Robertson River, MP122.4 (Tetlin)</t>
  </si>
  <si>
    <t>Bear Creek</t>
  </si>
  <si>
    <t>Chief Creek</t>
  </si>
  <si>
    <t>Sam Creek</t>
  </si>
  <si>
    <t>Johnson Slough</t>
  </si>
  <si>
    <t>Dry Creek</t>
  </si>
  <si>
    <t>Johnson River; MP 157.4 (Delta Jct)</t>
  </si>
  <si>
    <t>Little Gerstle River</t>
  </si>
  <si>
    <t>Grestle River, MP 169.7 (Delta Jct)</t>
  </si>
  <si>
    <t>Sawmill Creek</t>
  </si>
  <si>
    <t>Rhoads Creek</t>
  </si>
  <si>
    <t>Data obtained from the National Data Base (identifed by crossing name, no long, lat)</t>
  </si>
  <si>
    <t>multiple crossings with this stream or river.  This needs to be checked for the correct one.</t>
  </si>
  <si>
    <t>Information provided by Dr. Metz student (no cross reference information data)</t>
  </si>
  <si>
    <t xml:space="preserve">Unit </t>
  </si>
  <si>
    <t>Items</t>
  </si>
  <si>
    <t>ft</t>
  </si>
  <si>
    <t>Dollars</t>
  </si>
  <si>
    <t>Cost</t>
  </si>
  <si>
    <t xml:space="preserve">Bridge Width (ft) :   = </t>
  </si>
  <si>
    <t xml:space="preserve">          Cost per sq ft for bridges =</t>
  </si>
  <si>
    <t>Approaches      =</t>
  </si>
  <si>
    <t>.25 miles on each end.</t>
  </si>
  <si>
    <t>approximately $1,000,000 /mile</t>
  </si>
  <si>
    <t>Cost per bridge for 1/4 mile approaches</t>
  </si>
  <si>
    <t>Rip rap             =</t>
  </si>
  <si>
    <t>100 yds up &amp; down stream each side</t>
  </si>
  <si>
    <t>10 ft tall, 8 ft thick , $45 /cy</t>
  </si>
  <si>
    <t xml:space="preserve">         Cost of rip rap/bridge</t>
  </si>
  <si>
    <t>Culverts</t>
  </si>
  <si>
    <t>Concrete:</t>
  </si>
  <si>
    <t>=(50 ft long * 40 ft wide *10 * 15 ft tall)</t>
  </si>
  <si>
    <t>assume conc cost = $500 /yd</t>
  </si>
  <si>
    <t xml:space="preserve">    </t>
  </si>
  <si>
    <t xml:space="preserve"> yds</t>
  </si>
  <si>
    <t xml:space="preserve">     ballast on top + cuts &amp; fills</t>
  </si>
  <si>
    <t>48-inch dia Galvnazied pipe with head walls:</t>
  </si>
  <si>
    <t xml:space="preserve">   Arch pipe 57"x36"</t>
  </si>
  <si>
    <t xml:space="preserve">Average cost of each culvert </t>
  </si>
  <si>
    <t>Unit cost</t>
  </si>
  <si>
    <t>Total costs for bridges&amp; cuulvets for the Alaska route</t>
  </si>
  <si>
    <t>Unclassified Excavation</t>
  </si>
  <si>
    <t>24" Pipe</t>
  </si>
  <si>
    <t>Train Control System</t>
  </si>
  <si>
    <t>Sq yd</t>
  </si>
  <si>
    <t>Station Facilities</t>
  </si>
  <si>
    <t>Tok</t>
  </si>
  <si>
    <t>Location</t>
  </si>
  <si>
    <t>Border</t>
  </si>
  <si>
    <t>Structure</t>
  </si>
  <si>
    <t>Site</t>
  </si>
  <si>
    <t>LS</t>
  </si>
  <si>
    <t>Northway</t>
  </si>
  <si>
    <t>Quanity</t>
  </si>
  <si>
    <t>Facilities</t>
  </si>
  <si>
    <t xml:space="preserve">          Cost per sq ft for bridges with tall piers (&gt; 20 ft)=</t>
  </si>
  <si>
    <t xml:space="preserve">           Cost of bridges with lengths &lt; 500-ft (15% increase)</t>
  </si>
  <si>
    <t>Begin Project (Delta)</t>
  </si>
  <si>
    <t>Latitude</t>
  </si>
  <si>
    <t>Longitude</t>
  </si>
  <si>
    <t>Tanacross</t>
  </si>
  <si>
    <t>MP 110</t>
  </si>
  <si>
    <t>MP 197</t>
  </si>
  <si>
    <t>MP 65</t>
  </si>
  <si>
    <t>MP 90</t>
  </si>
  <si>
    <t>MP 127</t>
  </si>
  <si>
    <t>Culvert</t>
  </si>
  <si>
    <t>Granite Creek</t>
  </si>
  <si>
    <t>Rhoade Creek</t>
  </si>
  <si>
    <t>Grestle River</t>
  </si>
  <si>
    <t>Little Grestle River</t>
  </si>
  <si>
    <t>Slough</t>
  </si>
  <si>
    <t>Sheep Creek</t>
  </si>
  <si>
    <t>Cathedral Rapid 3</t>
  </si>
  <si>
    <t>Yerrick Creek</t>
  </si>
  <si>
    <t>Tenmile Creek</t>
  </si>
  <si>
    <t>Scotty Creek</t>
  </si>
  <si>
    <t xml:space="preserve"> ($700/sf)</t>
  </si>
  <si>
    <t>cost ($/m)</t>
  </si>
  <si>
    <t>Meters</t>
  </si>
  <si>
    <t>Mile Post</t>
  </si>
  <si>
    <t>Kilometer</t>
  </si>
  <si>
    <t>Marker</t>
  </si>
  <si>
    <t>KM Total</t>
  </si>
  <si>
    <t>HIGHWAY ROUTE -HIGHWAY ROUTE  Mar 30, 2006</t>
  </si>
  <si>
    <t>Amount      ($US)</t>
  </si>
  <si>
    <t>US DOLLAR</t>
  </si>
  <si>
    <t>MP 13</t>
  </si>
  <si>
    <t>MP 40</t>
  </si>
  <si>
    <t>MP 160</t>
  </si>
  <si>
    <t>MP 180</t>
  </si>
  <si>
    <t>MP 152</t>
  </si>
  <si>
    <t>Maintenance Cost</t>
  </si>
  <si>
    <t>Year</t>
  </si>
  <si>
    <t>o</t>
  </si>
  <si>
    <t>Cathedral Rapid Creek 2</t>
  </si>
  <si>
    <t>Cathedral Rapid Creek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</si>
</sst>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0.0000"/>
    <numFmt numFmtId="167" formatCode="&quot;$&quot;#,##0"/>
    <numFmt numFmtId="168" formatCode="&quot;$&quot;#,##0.00"/>
    <numFmt numFmtId="169" formatCode="&quot;$&quot;#,##0.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2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6" borderId="0" xfId="0" applyFont="1" applyFill="1" applyAlignment="1">
      <alignment/>
    </xf>
    <xf numFmtId="49" fontId="1" fillId="6" borderId="0" xfId="0" applyNumberFormat="1" applyFont="1" applyFill="1" applyAlignment="1">
      <alignment/>
    </xf>
    <xf numFmtId="167" fontId="1" fillId="6" borderId="0" xfId="0" applyNumberFormat="1" applyFont="1" applyFill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1" fillId="0" borderId="0" xfId="0" applyNumberFormat="1" applyFont="1" applyBorder="1" applyAlignment="1">
      <alignment/>
    </xf>
    <xf numFmtId="0" fontId="1" fillId="6" borderId="1" xfId="0" applyFont="1" applyFill="1" applyBorder="1" applyAlignment="1">
      <alignment/>
    </xf>
    <xf numFmtId="49" fontId="1" fillId="6" borderId="1" xfId="0" applyNumberFormat="1" applyFont="1" applyFill="1" applyBorder="1" applyAlignment="1">
      <alignment/>
    </xf>
    <xf numFmtId="167" fontId="1" fillId="6" borderId="1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167" fontId="1" fillId="7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3" fontId="1" fillId="0" borderId="1" xfId="0" applyNumberFormat="1" applyFont="1" applyBorder="1" applyAlignment="1">
      <alignment/>
    </xf>
    <xf numFmtId="0" fontId="0" fillId="6" borderId="0" xfId="0" applyFill="1" applyAlignment="1">
      <alignment/>
    </xf>
    <xf numFmtId="0" fontId="1" fillId="8" borderId="0" xfId="0" applyFont="1" applyFill="1" applyAlignment="1">
      <alignment/>
    </xf>
    <xf numFmtId="49" fontId="1" fillId="8" borderId="0" xfId="0" applyNumberFormat="1" applyFont="1" applyFill="1" applyAlignment="1">
      <alignment/>
    </xf>
    <xf numFmtId="167" fontId="1" fillId="8" borderId="0" xfId="0" applyNumberFormat="1" applyFont="1" applyFill="1" applyAlignment="1">
      <alignment/>
    </xf>
    <xf numFmtId="3" fontId="0" fillId="9" borderId="0" xfId="0" applyNumberFormat="1" applyFill="1" applyAlignment="1">
      <alignment/>
    </xf>
    <xf numFmtId="1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5" fillId="0" borderId="0" xfId="0" applyFont="1" applyFill="1" applyAlignment="1">
      <alignment/>
    </xf>
    <xf numFmtId="1" fontId="1" fillId="8" borderId="0" xfId="0" applyNumberFormat="1" applyFont="1" applyFill="1" applyAlignment="1">
      <alignment/>
    </xf>
    <xf numFmtId="3" fontId="1" fillId="0" borderId="1" xfId="0" applyNumberFormat="1" applyFont="1" applyBorder="1" applyAlignment="1">
      <alignment horizontal="right"/>
    </xf>
    <xf numFmtId="3" fontId="1" fillId="6" borderId="0" xfId="0" applyNumberFormat="1" applyFont="1" applyFill="1" applyAlignment="1">
      <alignment/>
    </xf>
    <xf numFmtId="3" fontId="1" fillId="8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1" fillId="6" borderId="1" xfId="0" applyNumberFormat="1" applyFont="1" applyFill="1" applyBorder="1" applyAlignment="1">
      <alignment/>
    </xf>
    <xf numFmtId="3" fontId="1" fillId="7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0" fillId="6" borderId="0" xfId="0" applyNumberFormat="1" applyFill="1" applyAlignment="1">
      <alignment/>
    </xf>
    <xf numFmtId="3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1" fontId="0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7" fontId="0" fillId="6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0" fontId="0" fillId="6" borderId="1" xfId="0" applyFill="1" applyBorder="1" applyAlignment="1">
      <alignment/>
    </xf>
    <xf numFmtId="1" fontId="0" fillId="6" borderId="1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0" fontId="0" fillId="6" borderId="1" xfId="0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167" fontId="0" fillId="6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5" fontId="0" fillId="7" borderId="0" xfId="0" applyNumberFormat="1" applyFill="1" applyAlignment="1">
      <alignment/>
    </xf>
    <xf numFmtId="3" fontId="0" fillId="10" borderId="0" xfId="0" applyNumberFormat="1" applyFill="1" applyAlignment="1">
      <alignment/>
    </xf>
    <xf numFmtId="167" fontId="0" fillId="11" borderId="0" xfId="0" applyNumberFormat="1" applyFill="1" applyAlignment="1">
      <alignment/>
    </xf>
    <xf numFmtId="167" fontId="1" fillId="11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17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EJ4F8PKB\Multi-Modal%20Bridge%20cost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ti-Modal Briges"/>
      <sheetName val="AK Hwy Bridges"/>
      <sheetName val="Sheet2"/>
      <sheetName val="Sheet3"/>
    </sheetNames>
    <sheetDataSet>
      <sheetData sheetId="1">
        <row r="94">
          <cell r="B94" t="str">
            <v>Data obtained from the National Data Base (identifed by crossing name, no long, lat)</v>
          </cell>
        </row>
        <row r="95">
          <cell r="B95" t="str">
            <v>multiple crossings with this stream or river.  This needs to be checked for the correct one.</v>
          </cell>
        </row>
        <row r="96">
          <cell r="B96" t="str">
            <v>Information provided by Dr. Metz student (no cross reference information data)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18"/>
  <sheetViews>
    <sheetView tabSelected="1" zoomScale="75" zoomScaleNormal="75" workbookViewId="0" topLeftCell="N9">
      <selection activeCell="W21" sqref="W21"/>
    </sheetView>
  </sheetViews>
  <sheetFormatPr defaultColWidth="9.140625" defaultRowHeight="12.75"/>
  <cols>
    <col min="1" max="1" width="0.5625" style="0" customWidth="1"/>
    <col min="2" max="2" width="11.57421875" style="0" customWidth="1"/>
    <col min="3" max="3" width="11.140625" style="0" customWidth="1"/>
    <col min="4" max="4" width="2.421875" style="0" customWidth="1"/>
    <col min="5" max="5" width="6.140625" style="0" customWidth="1"/>
    <col min="6" max="6" width="7.7109375" style="0" customWidth="1"/>
    <col min="7" max="7" width="4.8515625" style="0" customWidth="1"/>
    <col min="8" max="9" width="9.00390625" style="0" customWidth="1"/>
    <col min="11" max="11" width="9.7109375" style="0" customWidth="1"/>
    <col min="13" max="13" width="5.421875" style="0" customWidth="1"/>
    <col min="14" max="14" width="6.140625" style="0" customWidth="1"/>
    <col min="15" max="15" width="9.7109375" style="0" customWidth="1"/>
    <col min="16" max="16" width="5.28125" style="0" customWidth="1"/>
    <col min="17" max="17" width="4.8515625" style="0" customWidth="1"/>
    <col min="18" max="18" width="10.140625" style="0" customWidth="1"/>
    <col min="19" max="19" width="10.8515625" style="0" customWidth="1"/>
    <col min="20" max="20" width="5.57421875" style="0" customWidth="1"/>
    <col min="21" max="21" width="2.421875" style="0" customWidth="1"/>
    <col min="22" max="22" width="21.28125" style="0" customWidth="1"/>
    <col min="23" max="23" width="13.421875" style="0" customWidth="1"/>
    <col min="24" max="24" width="12.00390625" style="7" customWidth="1"/>
    <col min="25" max="25" width="15.57421875" style="0" customWidth="1"/>
    <col min="26" max="26" width="18.57421875" style="0" customWidth="1"/>
    <col min="27" max="27" width="3.140625" style="0" customWidth="1"/>
    <col min="28" max="28" width="20.00390625" style="0" customWidth="1"/>
    <col min="29" max="29" width="8.140625" style="0" customWidth="1"/>
    <col min="30" max="30" width="8.28125" style="0" customWidth="1"/>
    <col min="43" max="44" width="9.28125" style="0" bestFit="1" customWidth="1"/>
  </cols>
  <sheetData>
    <row r="1" spans="2:22" ht="12.75">
      <c r="B1" s="5" t="s">
        <v>181</v>
      </c>
      <c r="C1" s="5"/>
      <c r="D1" s="5"/>
      <c r="J1" t="s">
        <v>6</v>
      </c>
      <c r="L1" t="s">
        <v>178</v>
      </c>
      <c r="M1" t="s">
        <v>10</v>
      </c>
      <c r="N1" t="s">
        <v>14</v>
      </c>
      <c r="P1" t="s">
        <v>12</v>
      </c>
      <c r="Q1" t="s">
        <v>8</v>
      </c>
      <c r="S1" t="s">
        <v>15</v>
      </c>
      <c r="V1" t="s">
        <v>28</v>
      </c>
    </row>
    <row r="2" spans="2:22" ht="12.75">
      <c r="B2" t="s">
        <v>155</v>
      </c>
      <c r="C2" t="s">
        <v>156</v>
      </c>
      <c r="E2" t="s">
        <v>2</v>
      </c>
      <c r="F2" t="s">
        <v>4</v>
      </c>
      <c r="G2" t="s">
        <v>5</v>
      </c>
      <c r="H2" t="s">
        <v>3</v>
      </c>
      <c r="I2" t="s">
        <v>176</v>
      </c>
      <c r="J2" t="s">
        <v>72</v>
      </c>
      <c r="K2" t="s">
        <v>177</v>
      </c>
      <c r="L2" t="s">
        <v>179</v>
      </c>
      <c r="M2" t="s">
        <v>11</v>
      </c>
      <c r="N2" t="s">
        <v>7</v>
      </c>
      <c r="O2" t="s">
        <v>13</v>
      </c>
      <c r="P2" t="s">
        <v>11</v>
      </c>
      <c r="Q2" t="s">
        <v>7</v>
      </c>
      <c r="R2" t="s">
        <v>13</v>
      </c>
      <c r="S2" t="s">
        <v>9</v>
      </c>
      <c r="V2" t="s">
        <v>27</v>
      </c>
    </row>
    <row r="3" spans="5:12" ht="12.75">
      <c r="E3" s="23">
        <v>1</v>
      </c>
      <c r="F3" t="s">
        <v>154</v>
      </c>
      <c r="J3">
        <v>0</v>
      </c>
      <c r="K3">
        <v>0</v>
      </c>
      <c r="L3">
        <v>0</v>
      </c>
    </row>
    <row r="4" spans="1:40" ht="12.75">
      <c r="A4">
        <f>+A2+1</f>
        <v>1</v>
      </c>
      <c r="B4" s="1"/>
      <c r="C4" s="1"/>
      <c r="D4" s="1" t="s">
        <v>30</v>
      </c>
      <c r="E4" s="23">
        <f>+E3+1</f>
        <v>2</v>
      </c>
      <c r="F4" s="1">
        <v>1910</v>
      </c>
      <c r="G4" s="3">
        <f>5730/F4</f>
        <v>3</v>
      </c>
      <c r="H4" s="1">
        <v>1802.9681</v>
      </c>
      <c r="I4" s="1">
        <f>+H4*0.3048</f>
        <v>549.54467688</v>
      </c>
      <c r="J4" s="1">
        <f>+J3+H4</f>
        <v>1802.9681</v>
      </c>
      <c r="K4" s="85">
        <f>+J4/5280</f>
        <v>0.34147123106060606</v>
      </c>
      <c r="L4" s="85">
        <f>+L3+I4/1000</f>
        <v>0.54954467688</v>
      </c>
      <c r="M4" s="12"/>
      <c r="N4" s="11"/>
      <c r="O4" s="11"/>
      <c r="P4" s="15">
        <v>480</v>
      </c>
      <c r="Q4" s="5"/>
      <c r="R4" s="1"/>
      <c r="S4" s="1"/>
      <c r="AH4" s="1" t="s">
        <v>67</v>
      </c>
      <c r="AI4" s="1"/>
      <c r="AJ4" t="s">
        <v>67</v>
      </c>
      <c r="AL4" t="s">
        <v>67</v>
      </c>
      <c r="AN4" t="s">
        <v>142</v>
      </c>
    </row>
    <row r="5" spans="1:42" ht="12.75">
      <c r="A5">
        <f aca="true" t="shared" si="0" ref="A5:A67">+A4+1</f>
        <v>2</v>
      </c>
      <c r="D5" t="s">
        <v>30</v>
      </c>
      <c r="E5" s="23">
        <f aca="true" t="shared" si="1" ref="E5:E68">+E4+1</f>
        <v>3</v>
      </c>
      <c r="F5" s="1"/>
      <c r="G5" s="3"/>
      <c r="H5" s="1">
        <v>20192.4871</v>
      </c>
      <c r="I5" s="1">
        <f>+H5*0.3048</f>
        <v>6154.6700680799995</v>
      </c>
      <c r="J5" s="1">
        <f>+J4+H5</f>
        <v>21995.455199999997</v>
      </c>
      <c r="K5" s="85">
        <f>+J5/5280</f>
        <v>4.165805909090908</v>
      </c>
      <c r="L5" s="85">
        <f>+L4+I5/1000</f>
        <v>6.70421474496</v>
      </c>
      <c r="M5" s="14">
        <v>0</v>
      </c>
      <c r="N5" s="1">
        <f>+(M4+M5)/2</f>
        <v>0</v>
      </c>
      <c r="O5" s="1">
        <f>1.2*N5*(J5-J4)/27</f>
        <v>0</v>
      </c>
      <c r="P5" s="15">
        <v>480</v>
      </c>
      <c r="Q5" s="1">
        <f>+(P4+P5)/2</f>
        <v>480</v>
      </c>
      <c r="R5" s="1">
        <f>1.2*Q5*(J5-J4)/27</f>
        <v>430773.0581333333</v>
      </c>
      <c r="S5" s="1">
        <f>1.9*(R5-O5)</f>
        <v>818468.8104533332</v>
      </c>
      <c r="W5" t="s">
        <v>39</v>
      </c>
      <c r="X5" s="7" t="s">
        <v>40</v>
      </c>
      <c r="Y5" s="1" t="s">
        <v>41</v>
      </c>
      <c r="Z5" s="1" t="s">
        <v>182</v>
      </c>
      <c r="AA5" s="1"/>
      <c r="AB5" t="s">
        <v>37</v>
      </c>
      <c r="AC5" s="1" t="s">
        <v>39</v>
      </c>
      <c r="AD5" s="1" t="s">
        <v>40</v>
      </c>
      <c r="AE5" s="1" t="s">
        <v>41</v>
      </c>
      <c r="AF5" s="1" t="s">
        <v>42</v>
      </c>
      <c r="AH5" s="1" t="s">
        <v>68</v>
      </c>
      <c r="AI5" s="1"/>
      <c r="AJ5" s="1" t="s">
        <v>69</v>
      </c>
      <c r="AK5" s="1"/>
      <c r="AL5" s="1" t="s">
        <v>70</v>
      </c>
      <c r="AO5" s="1"/>
      <c r="AP5" s="1"/>
    </row>
    <row r="6" spans="1:44" ht="12.75">
      <c r="A6">
        <f t="shared" si="0"/>
        <v>3</v>
      </c>
      <c r="D6" t="s">
        <v>30</v>
      </c>
      <c r="E6" s="23">
        <f t="shared" si="1"/>
        <v>4</v>
      </c>
      <c r="F6" s="1">
        <v>2865</v>
      </c>
      <c r="G6" s="3">
        <f>5730/F6</f>
        <v>2</v>
      </c>
      <c r="H6" s="1">
        <v>1191.2782</v>
      </c>
      <c r="I6" s="1">
        <f>+H6*0.3048</f>
        <v>363.10159536000003</v>
      </c>
      <c r="J6" s="1">
        <f aca="true" t="shared" si="2" ref="J6:J67">+J5+H6</f>
        <v>23186.733399999997</v>
      </c>
      <c r="K6" s="85">
        <f aca="true" t="shared" si="3" ref="K6:K67">+J6/5280</f>
        <v>4.39142678030303</v>
      </c>
      <c r="L6" s="85">
        <f aca="true" t="shared" si="4" ref="L6:L69">+L5+I6/1000</f>
        <v>7.06731634032</v>
      </c>
      <c r="M6" s="14">
        <v>0</v>
      </c>
      <c r="N6" s="1">
        <f aca="true" t="shared" si="5" ref="N6:N67">+(M5+M6)/2</f>
        <v>0</v>
      </c>
      <c r="O6" s="1">
        <f aca="true" t="shared" si="6" ref="O6:O67">1.2*N6*(J6-J5)/27</f>
        <v>0</v>
      </c>
      <c r="P6" s="15">
        <v>480</v>
      </c>
      <c r="Q6" s="1">
        <f>+(P5+P6)/2</f>
        <v>480</v>
      </c>
      <c r="R6" s="1">
        <f aca="true" t="shared" si="7" ref="R6:R67">1.2*Q6*(J6-J5)/27</f>
        <v>25413.93493333335</v>
      </c>
      <c r="S6" s="1">
        <f aca="true" t="shared" si="8" ref="S6:S67">1.9*(R6-O6)</f>
        <v>48286.47637333336</v>
      </c>
      <c r="V6" t="s">
        <v>18</v>
      </c>
      <c r="W6" s="2" t="s">
        <v>19</v>
      </c>
      <c r="X6" s="7">
        <f>+H228*200*0.8/43560</f>
        <v>3838.1469458218544</v>
      </c>
      <c r="Y6" s="1">
        <v>5500</v>
      </c>
      <c r="Z6" s="1">
        <f>+X6*Y6</f>
        <v>21109808.202020198</v>
      </c>
      <c r="AA6" s="1"/>
      <c r="AB6" s="3" t="s">
        <v>38</v>
      </c>
      <c r="AC6" s="1" t="s">
        <v>17</v>
      </c>
      <c r="AD6" s="1">
        <v>250</v>
      </c>
      <c r="AE6">
        <v>4800</v>
      </c>
      <c r="AF6">
        <f>+AD6*AE6</f>
        <v>1200000</v>
      </c>
      <c r="AH6" t="s">
        <v>158</v>
      </c>
      <c r="AI6">
        <v>13250</v>
      </c>
      <c r="AJ6" t="s">
        <v>184</v>
      </c>
      <c r="AK6">
        <v>7250</v>
      </c>
      <c r="AN6" t="s">
        <v>144</v>
      </c>
      <c r="AO6" t="s">
        <v>39</v>
      </c>
      <c r="AP6" t="s">
        <v>150</v>
      </c>
      <c r="AQ6" t="s">
        <v>41</v>
      </c>
      <c r="AR6" t="s">
        <v>42</v>
      </c>
    </row>
    <row r="7" spans="1:40" ht="12.75">
      <c r="A7">
        <f t="shared" si="0"/>
        <v>4</v>
      </c>
      <c r="D7" t="s">
        <v>30</v>
      </c>
      <c r="E7" s="23">
        <f t="shared" si="1"/>
        <v>5</v>
      </c>
      <c r="F7" s="1"/>
      <c r="G7" s="3"/>
      <c r="H7" s="1">
        <v>1502.1427</v>
      </c>
      <c r="I7" s="1">
        <f aca="true" t="shared" si="9" ref="I7:I70">+H7*0.3048</f>
        <v>457.8530949600001</v>
      </c>
      <c r="J7" s="1">
        <f t="shared" si="2"/>
        <v>24688.876099999998</v>
      </c>
      <c r="K7" s="85">
        <f t="shared" si="3"/>
        <v>4.675923503787878</v>
      </c>
      <c r="L7" s="85">
        <f t="shared" si="4"/>
        <v>7.52516943528</v>
      </c>
      <c r="M7" s="14">
        <v>0</v>
      </c>
      <c r="N7" s="1">
        <f t="shared" si="5"/>
        <v>0</v>
      </c>
      <c r="O7" s="1">
        <f t="shared" si="6"/>
        <v>0</v>
      </c>
      <c r="P7" s="15">
        <v>480</v>
      </c>
      <c r="Q7" s="1">
        <f aca="true" t="shared" si="10" ref="Q7:Q68">+(P6+P7)/2</f>
        <v>480</v>
      </c>
      <c r="R7" s="1">
        <f t="shared" si="7"/>
        <v>32045.71093333334</v>
      </c>
      <c r="S7" s="1">
        <f t="shared" si="8"/>
        <v>60886.85077333334</v>
      </c>
      <c r="V7" t="s">
        <v>20</v>
      </c>
      <c r="W7" s="2" t="s">
        <v>19</v>
      </c>
      <c r="X7" s="7">
        <f>+H228*200*0.2/43560</f>
        <v>959.5367364554636</v>
      </c>
      <c r="Y7" s="1">
        <v>6000</v>
      </c>
      <c r="Z7" s="1">
        <f aca="true" t="shared" si="11" ref="Z7:Z16">+X7*Y7</f>
        <v>5757220.418732782</v>
      </c>
      <c r="AA7" s="1"/>
      <c r="AB7" s="3" t="s">
        <v>15</v>
      </c>
      <c r="AC7" s="1" t="s">
        <v>33</v>
      </c>
      <c r="AD7" s="1">
        <v>230700</v>
      </c>
      <c r="AE7">
        <v>5</v>
      </c>
      <c r="AF7">
        <f>+AD7*AE7</f>
        <v>1153500</v>
      </c>
      <c r="AH7" t="s">
        <v>159</v>
      </c>
      <c r="AI7">
        <v>13250</v>
      </c>
      <c r="AJ7" t="s">
        <v>185</v>
      </c>
      <c r="AK7">
        <v>7250</v>
      </c>
      <c r="AN7" s="5" t="s">
        <v>157</v>
      </c>
    </row>
    <row r="8" spans="1:44" ht="12.75">
      <c r="A8">
        <f t="shared" si="0"/>
        <v>5</v>
      </c>
      <c r="D8" t="s">
        <v>30</v>
      </c>
      <c r="E8" s="23">
        <f t="shared" si="1"/>
        <v>6</v>
      </c>
      <c r="F8" s="1">
        <v>2865</v>
      </c>
      <c r="G8" s="3">
        <f>5730/F8</f>
        <v>2</v>
      </c>
      <c r="H8" s="1">
        <v>931.0151</v>
      </c>
      <c r="I8" s="1">
        <f t="shared" si="9"/>
        <v>283.77340248</v>
      </c>
      <c r="J8" s="1">
        <f t="shared" si="2"/>
        <v>25619.8912</v>
      </c>
      <c r="K8" s="85">
        <f t="shared" si="3"/>
        <v>4.852252121212121</v>
      </c>
      <c r="L8" s="85">
        <f t="shared" si="4"/>
        <v>7.808942837759999</v>
      </c>
      <c r="M8" s="14">
        <v>0</v>
      </c>
      <c r="N8" s="1">
        <f t="shared" si="5"/>
        <v>0</v>
      </c>
      <c r="O8" s="1">
        <f t="shared" si="6"/>
        <v>0</v>
      </c>
      <c r="P8" s="15">
        <v>480</v>
      </c>
      <c r="Q8" s="1">
        <f t="shared" si="10"/>
        <v>480</v>
      </c>
      <c r="R8" s="1">
        <f t="shared" si="7"/>
        <v>19861.655466666678</v>
      </c>
      <c r="S8" s="1">
        <f t="shared" si="8"/>
        <v>37737.145386666685</v>
      </c>
      <c r="V8" t="s">
        <v>138</v>
      </c>
      <c r="W8" s="2" t="s">
        <v>21</v>
      </c>
      <c r="X8" s="7">
        <f>+O228*1.2</f>
        <v>4636747.262794671</v>
      </c>
      <c r="Y8" s="1">
        <v>5.5</v>
      </c>
      <c r="Z8" s="1">
        <f t="shared" si="11"/>
        <v>25502109.94537069</v>
      </c>
      <c r="AA8" s="1"/>
      <c r="AB8" s="3" t="s">
        <v>22</v>
      </c>
      <c r="AC8" s="1" t="s">
        <v>33</v>
      </c>
      <c r="AD8" s="1">
        <v>56500</v>
      </c>
      <c r="AE8">
        <v>5</v>
      </c>
      <c r="AF8">
        <f>+AD8*AE8</f>
        <v>282500</v>
      </c>
      <c r="AI8">
        <f>SUM(AI6:AI7)</f>
        <v>26500</v>
      </c>
      <c r="AJ8" t="s">
        <v>160</v>
      </c>
      <c r="AK8">
        <v>7250</v>
      </c>
      <c r="AN8" t="s">
        <v>146</v>
      </c>
      <c r="AO8" t="s">
        <v>11</v>
      </c>
      <c r="AP8">
        <v>5000</v>
      </c>
      <c r="AQ8">
        <v>120</v>
      </c>
      <c r="AR8">
        <f>+AP8*AQ8</f>
        <v>600000</v>
      </c>
    </row>
    <row r="9" spans="1:44" ht="12.75">
      <c r="A9">
        <f t="shared" si="0"/>
        <v>6</v>
      </c>
      <c r="D9" t="s">
        <v>30</v>
      </c>
      <c r="E9" s="23">
        <f t="shared" si="1"/>
        <v>7</v>
      </c>
      <c r="F9" s="1"/>
      <c r="G9" s="3"/>
      <c r="H9" s="1">
        <v>87435.0795</v>
      </c>
      <c r="I9" s="1">
        <f t="shared" si="9"/>
        <v>26650.212231600002</v>
      </c>
      <c r="J9" s="1">
        <f t="shared" si="2"/>
        <v>113054.9707</v>
      </c>
      <c r="K9" s="85">
        <f t="shared" si="3"/>
        <v>21.411926268939396</v>
      </c>
      <c r="L9" s="85">
        <f t="shared" si="4"/>
        <v>34.45915506936</v>
      </c>
      <c r="M9" s="14">
        <v>0</v>
      </c>
      <c r="N9" s="1">
        <f t="shared" si="5"/>
        <v>0</v>
      </c>
      <c r="O9" s="1">
        <f t="shared" si="6"/>
        <v>0</v>
      </c>
      <c r="P9" s="15">
        <v>480</v>
      </c>
      <c r="Q9" s="1">
        <f t="shared" si="10"/>
        <v>480</v>
      </c>
      <c r="R9" s="1">
        <f t="shared" si="7"/>
        <v>1865281.6960000002</v>
      </c>
      <c r="S9" s="1">
        <f t="shared" si="8"/>
        <v>3544035.2224000003</v>
      </c>
      <c r="V9" t="s">
        <v>23</v>
      </c>
      <c r="W9" s="2" t="s">
        <v>21</v>
      </c>
      <c r="X9" s="53">
        <v>1000000</v>
      </c>
      <c r="Y9" s="54">
        <v>3</v>
      </c>
      <c r="Z9" s="1">
        <f t="shared" si="11"/>
        <v>3000000</v>
      </c>
      <c r="AA9" s="1"/>
      <c r="AB9" s="3" t="s">
        <v>43</v>
      </c>
      <c r="AC9" s="1" t="s">
        <v>33</v>
      </c>
      <c r="AD9" s="1">
        <v>7000</v>
      </c>
      <c r="AE9">
        <v>10</v>
      </c>
      <c r="AF9">
        <f>+AD9*AE9</f>
        <v>70000</v>
      </c>
      <c r="AJ9" t="s">
        <v>161</v>
      </c>
      <c r="AK9">
        <v>7250</v>
      </c>
      <c r="AN9" t="s">
        <v>147</v>
      </c>
      <c r="AO9" t="s">
        <v>148</v>
      </c>
      <c r="AP9">
        <v>1</v>
      </c>
      <c r="AQ9">
        <v>250000</v>
      </c>
      <c r="AR9">
        <f>+AP9*AQ9</f>
        <v>250000</v>
      </c>
    </row>
    <row r="10" spans="1:40" ht="12.75">
      <c r="A10">
        <f t="shared" si="0"/>
        <v>7</v>
      </c>
      <c r="D10" t="s">
        <v>30</v>
      </c>
      <c r="E10" s="23">
        <f t="shared" si="1"/>
        <v>8</v>
      </c>
      <c r="F10" s="1">
        <v>5730</v>
      </c>
      <c r="G10" s="3">
        <f>5730/F10</f>
        <v>1</v>
      </c>
      <c r="H10" s="1">
        <v>287.0374</v>
      </c>
      <c r="I10" s="1">
        <f t="shared" si="9"/>
        <v>87.48899952000001</v>
      </c>
      <c r="J10" s="1">
        <f t="shared" si="2"/>
        <v>113342.0081</v>
      </c>
      <c r="K10" s="85">
        <f t="shared" si="3"/>
        <v>21.46628941287879</v>
      </c>
      <c r="L10" s="85">
        <f t="shared" si="4"/>
        <v>34.54664406888</v>
      </c>
      <c r="M10" s="14">
        <v>0</v>
      </c>
      <c r="N10" s="1">
        <f t="shared" si="5"/>
        <v>0</v>
      </c>
      <c r="O10" s="1">
        <f t="shared" si="6"/>
        <v>0</v>
      </c>
      <c r="P10" s="15">
        <v>480</v>
      </c>
      <c r="Q10" s="1">
        <f t="shared" si="10"/>
        <v>480</v>
      </c>
      <c r="R10" s="1">
        <f t="shared" si="7"/>
        <v>6123.4645333333565</v>
      </c>
      <c r="S10" s="1">
        <f t="shared" si="8"/>
        <v>11634.582613333378</v>
      </c>
      <c r="V10" t="s">
        <v>15</v>
      </c>
      <c r="W10" s="2" t="s">
        <v>33</v>
      </c>
      <c r="X10" s="7">
        <f>+S228+1.3</f>
        <v>25207507.384842657</v>
      </c>
      <c r="Y10" s="1">
        <v>5</v>
      </c>
      <c r="Z10" s="1">
        <f t="shared" si="11"/>
        <v>126037536.92421329</v>
      </c>
      <c r="AA10" s="1"/>
      <c r="AB10" s="3" t="s">
        <v>44</v>
      </c>
      <c r="AC10" s="1" t="s">
        <v>33</v>
      </c>
      <c r="AD10" s="1">
        <f>+AD11*0.06</f>
        <v>264</v>
      </c>
      <c r="AE10">
        <v>215</v>
      </c>
      <c r="AF10">
        <f aca="true" t="shared" si="12" ref="AF10:AF15">+AD10*AE10</f>
        <v>56760</v>
      </c>
      <c r="AJ10" t="s">
        <v>162</v>
      </c>
      <c r="AK10">
        <v>7250</v>
      </c>
      <c r="AN10" s="5" t="s">
        <v>143</v>
      </c>
    </row>
    <row r="11" spans="1:44" ht="12.75">
      <c r="A11">
        <f t="shared" si="0"/>
        <v>8</v>
      </c>
      <c r="C11" s="1"/>
      <c r="D11" s="1" t="s">
        <v>30</v>
      </c>
      <c r="E11" s="23">
        <f t="shared" si="1"/>
        <v>9</v>
      </c>
      <c r="F11" s="1"/>
      <c r="G11" s="3"/>
      <c r="H11" s="1">
        <v>67985.2693</v>
      </c>
      <c r="I11" s="1">
        <f t="shared" si="9"/>
        <v>20721.910082640003</v>
      </c>
      <c r="J11" s="1">
        <f t="shared" si="2"/>
        <v>181327.27740000002</v>
      </c>
      <c r="K11" s="85">
        <f t="shared" si="3"/>
        <v>34.34228738636364</v>
      </c>
      <c r="L11" s="85">
        <f t="shared" si="4"/>
        <v>55.26855415152</v>
      </c>
      <c r="M11" s="14">
        <v>71.5</v>
      </c>
      <c r="N11" s="1">
        <f t="shared" si="5"/>
        <v>35.75</v>
      </c>
      <c r="O11" s="1">
        <f t="shared" si="6"/>
        <v>108021.03899888891</v>
      </c>
      <c r="P11" s="15">
        <v>86</v>
      </c>
      <c r="Q11" s="1">
        <f t="shared" si="10"/>
        <v>283</v>
      </c>
      <c r="R11" s="1">
        <f t="shared" si="7"/>
        <v>855103.609417778</v>
      </c>
      <c r="S11" s="1">
        <f t="shared" si="8"/>
        <v>1419456.883795889</v>
      </c>
      <c r="U11" t="s">
        <v>30</v>
      </c>
      <c r="V11" t="s">
        <v>22</v>
      </c>
      <c r="W11" s="2" t="s">
        <v>33</v>
      </c>
      <c r="X11" s="7">
        <f>+(H228+AH17)*60*1.9/27</f>
        <v>4853172.136444443</v>
      </c>
      <c r="Y11" s="1">
        <v>5</v>
      </c>
      <c r="Z11" s="1">
        <f t="shared" si="11"/>
        <v>24265860.682222214</v>
      </c>
      <c r="AA11" s="1"/>
      <c r="AB11" s="3" t="s">
        <v>45</v>
      </c>
      <c r="AC11" s="1" t="s">
        <v>33</v>
      </c>
      <c r="AD11" s="1">
        <v>4400</v>
      </c>
      <c r="AE11">
        <v>23</v>
      </c>
      <c r="AF11">
        <f t="shared" si="12"/>
        <v>101200</v>
      </c>
      <c r="AJ11" t="s">
        <v>188</v>
      </c>
      <c r="AK11">
        <v>7250</v>
      </c>
      <c r="AN11" t="s">
        <v>146</v>
      </c>
      <c r="AO11" t="s">
        <v>11</v>
      </c>
      <c r="AP11">
        <v>5000</v>
      </c>
      <c r="AQ11">
        <v>120</v>
      </c>
      <c r="AR11">
        <f>+AP11*AQ11</f>
        <v>600000</v>
      </c>
    </row>
    <row r="12" spans="1:44" ht="12.75">
      <c r="A12">
        <f t="shared" si="0"/>
        <v>9</v>
      </c>
      <c r="B12" s="1"/>
      <c r="C12" s="1"/>
      <c r="D12" t="s">
        <v>30</v>
      </c>
      <c r="E12" s="23">
        <f t="shared" si="1"/>
        <v>10</v>
      </c>
      <c r="F12" s="1">
        <v>2865</v>
      </c>
      <c r="G12" s="3">
        <f>5730/F12</f>
        <v>2</v>
      </c>
      <c r="H12" s="1">
        <v>2459.9347</v>
      </c>
      <c r="I12" s="1">
        <f t="shared" si="9"/>
        <v>749.78809656</v>
      </c>
      <c r="J12" s="1">
        <f>+J11+H12</f>
        <v>183787.21210000003</v>
      </c>
      <c r="K12" s="85">
        <f t="shared" si="3"/>
        <v>34.80818410984849</v>
      </c>
      <c r="L12" s="85">
        <f t="shared" si="4"/>
        <v>56.01834224808</v>
      </c>
      <c r="M12" s="14">
        <v>162</v>
      </c>
      <c r="N12" s="1">
        <f>+(M11+M12)/2</f>
        <v>116.75</v>
      </c>
      <c r="O12" s="1">
        <f>1.2*N12*(J12-J11)/27</f>
        <v>12764.327832222287</v>
      </c>
      <c r="P12" s="15">
        <v>200</v>
      </c>
      <c r="Q12" s="1">
        <f>+(P11+P12)/2</f>
        <v>143</v>
      </c>
      <c r="R12" s="1">
        <f>1.2*Q12*(J12-J11)/27</f>
        <v>15634.251648888969</v>
      </c>
      <c r="S12" s="1">
        <f>1.9*(R12-O12)</f>
        <v>5452.855251666695</v>
      </c>
      <c r="U12" t="s">
        <v>30</v>
      </c>
      <c r="V12" t="s">
        <v>24</v>
      </c>
      <c r="W12" s="2" t="s">
        <v>33</v>
      </c>
      <c r="X12" s="7">
        <f>+(H228+AH17)*1.8</f>
        <v>2068983.9107999997</v>
      </c>
      <c r="Y12" s="1">
        <v>10</v>
      </c>
      <c r="Z12" s="1">
        <f t="shared" si="11"/>
        <v>20689839.107999995</v>
      </c>
      <c r="AA12" s="1"/>
      <c r="AB12" s="3" t="s">
        <v>46</v>
      </c>
      <c r="AC12" s="1" t="s">
        <v>33</v>
      </c>
      <c r="AD12" s="1">
        <v>27</v>
      </c>
      <c r="AE12">
        <v>375</v>
      </c>
      <c r="AF12">
        <f t="shared" si="12"/>
        <v>10125</v>
      </c>
      <c r="AJ12" t="s">
        <v>186</v>
      </c>
      <c r="AK12">
        <v>7250</v>
      </c>
      <c r="AN12" t="s">
        <v>147</v>
      </c>
      <c r="AO12" t="s">
        <v>148</v>
      </c>
      <c r="AP12">
        <v>1</v>
      </c>
      <c r="AQ12">
        <v>250000</v>
      </c>
      <c r="AR12">
        <f>+AP12*AQ12</f>
        <v>250000</v>
      </c>
    </row>
    <row r="13" spans="1:40" ht="12.75">
      <c r="A13">
        <f t="shared" si="0"/>
        <v>10</v>
      </c>
      <c r="D13" t="s">
        <v>30</v>
      </c>
      <c r="E13" s="23">
        <f t="shared" si="1"/>
        <v>11</v>
      </c>
      <c r="F13" s="1"/>
      <c r="G13" s="3"/>
      <c r="H13" s="1">
        <v>4309.6192</v>
      </c>
      <c r="I13" s="1">
        <f t="shared" si="9"/>
        <v>1313.5719321600002</v>
      </c>
      <c r="J13" s="1">
        <f t="shared" si="2"/>
        <v>188096.83130000002</v>
      </c>
      <c r="K13" s="85">
        <f t="shared" si="3"/>
        <v>35.624399867424245</v>
      </c>
      <c r="L13" s="85">
        <f t="shared" si="4"/>
        <v>57.331914180240005</v>
      </c>
      <c r="M13" s="14">
        <v>162</v>
      </c>
      <c r="N13" s="1">
        <f t="shared" si="5"/>
        <v>162</v>
      </c>
      <c r="O13" s="1">
        <f t="shared" si="6"/>
        <v>31029.258239999905</v>
      </c>
      <c r="P13" s="15">
        <v>200</v>
      </c>
      <c r="Q13" s="1">
        <f t="shared" si="10"/>
        <v>200</v>
      </c>
      <c r="R13" s="1">
        <f t="shared" si="7"/>
        <v>38307.7262222221</v>
      </c>
      <c r="S13" s="1">
        <f t="shared" si="8"/>
        <v>13829.089166222177</v>
      </c>
      <c r="U13" t="s">
        <v>30</v>
      </c>
      <c r="V13" t="s">
        <v>16</v>
      </c>
      <c r="W13" s="2" t="s">
        <v>33</v>
      </c>
      <c r="X13" s="7">
        <f>+(H228+AH17)*55*1.35/100</f>
        <v>853455.8632049998</v>
      </c>
      <c r="Y13" s="1">
        <v>40</v>
      </c>
      <c r="Z13" s="1">
        <f t="shared" si="11"/>
        <v>34138234.52819999</v>
      </c>
      <c r="AA13" s="1"/>
      <c r="AB13" s="3" t="s">
        <v>47</v>
      </c>
      <c r="AC13" s="1" t="s">
        <v>48</v>
      </c>
      <c r="AD13" s="1">
        <v>1</v>
      </c>
      <c r="AE13">
        <v>30000</v>
      </c>
      <c r="AF13">
        <f t="shared" si="12"/>
        <v>30000</v>
      </c>
      <c r="AJ13" t="s">
        <v>187</v>
      </c>
      <c r="AK13">
        <v>7250</v>
      </c>
      <c r="AN13" s="5" t="s">
        <v>149</v>
      </c>
    </row>
    <row r="14" spans="1:44" ht="12.75">
      <c r="A14">
        <f t="shared" si="0"/>
        <v>11</v>
      </c>
      <c r="D14" t="s">
        <v>30</v>
      </c>
      <c r="E14" s="23">
        <f t="shared" si="1"/>
        <v>12</v>
      </c>
      <c r="F14" s="1">
        <v>5730</v>
      </c>
      <c r="G14" s="3">
        <f>5730/F14</f>
        <v>1</v>
      </c>
      <c r="H14" s="1">
        <v>2157.9434</v>
      </c>
      <c r="I14" s="1">
        <f t="shared" si="9"/>
        <v>657.7411483200001</v>
      </c>
      <c r="J14" s="1">
        <f t="shared" si="2"/>
        <v>190254.7747</v>
      </c>
      <c r="K14" s="85">
        <f t="shared" si="3"/>
        <v>36.0331012689394</v>
      </c>
      <c r="L14" s="85">
        <f t="shared" si="4"/>
        <v>57.989655328560005</v>
      </c>
      <c r="M14" s="14">
        <v>162</v>
      </c>
      <c r="N14" s="1">
        <f t="shared" si="5"/>
        <v>162</v>
      </c>
      <c r="O14" s="1">
        <f t="shared" si="6"/>
        <v>15537.192479999923</v>
      </c>
      <c r="P14" s="15">
        <v>200</v>
      </c>
      <c r="Q14" s="1">
        <f t="shared" si="10"/>
        <v>200</v>
      </c>
      <c r="R14" s="1">
        <f t="shared" si="7"/>
        <v>19181.719111111015</v>
      </c>
      <c r="S14" s="1">
        <f t="shared" si="8"/>
        <v>6924.600599111074</v>
      </c>
      <c r="U14" t="s">
        <v>30</v>
      </c>
      <c r="V14" t="s">
        <v>25</v>
      </c>
      <c r="W14" s="2" t="s">
        <v>26</v>
      </c>
      <c r="X14" s="7">
        <f>+(H229+AH18)*3250</f>
        <v>707512.3853219695</v>
      </c>
      <c r="Y14" s="1">
        <v>100</v>
      </c>
      <c r="Z14" s="1">
        <f t="shared" si="11"/>
        <v>70751238.53219695</v>
      </c>
      <c r="AA14" s="1"/>
      <c r="AB14" s="3" t="s">
        <v>36</v>
      </c>
      <c r="AC14" s="1" t="s">
        <v>48</v>
      </c>
      <c r="AD14" s="1">
        <v>1</v>
      </c>
      <c r="AE14">
        <v>50000</v>
      </c>
      <c r="AF14">
        <f t="shared" si="12"/>
        <v>50000</v>
      </c>
      <c r="AK14">
        <f>SUM(AK6:AK13)</f>
        <v>58000</v>
      </c>
      <c r="AL14">
        <v>20000</v>
      </c>
      <c r="AN14" t="s">
        <v>146</v>
      </c>
      <c r="AO14" t="s">
        <v>11</v>
      </c>
      <c r="AP14">
        <v>5000</v>
      </c>
      <c r="AQ14">
        <v>120</v>
      </c>
      <c r="AR14">
        <f>+AP14*AQ14</f>
        <v>600000</v>
      </c>
    </row>
    <row r="15" spans="1:44" ht="12.75">
      <c r="A15">
        <f t="shared" si="0"/>
        <v>12</v>
      </c>
      <c r="D15" t="s">
        <v>30</v>
      </c>
      <c r="E15" s="23">
        <f t="shared" si="1"/>
        <v>13</v>
      </c>
      <c r="F15" s="1"/>
      <c r="G15" s="3"/>
      <c r="H15" s="1">
        <v>4383.7382</v>
      </c>
      <c r="I15" s="1">
        <f t="shared" si="9"/>
        <v>1336.16340336</v>
      </c>
      <c r="J15" s="1">
        <f t="shared" si="2"/>
        <v>194638.5129</v>
      </c>
      <c r="K15" s="85">
        <f t="shared" si="3"/>
        <v>36.86335471590909</v>
      </c>
      <c r="L15" s="85">
        <f t="shared" si="4"/>
        <v>59.32581873192</v>
      </c>
      <c r="M15" s="14">
        <v>162</v>
      </c>
      <c r="N15" s="1">
        <f t="shared" si="5"/>
        <v>162</v>
      </c>
      <c r="O15" s="1">
        <f t="shared" si="6"/>
        <v>31562.915039999945</v>
      </c>
      <c r="P15" s="15">
        <v>200</v>
      </c>
      <c r="Q15" s="1">
        <f t="shared" si="10"/>
        <v>200</v>
      </c>
      <c r="R15" s="1">
        <f t="shared" si="7"/>
        <v>38966.56177777771</v>
      </c>
      <c r="S15" s="1">
        <f t="shared" si="8"/>
        <v>14066.928801777749</v>
      </c>
      <c r="U15" t="s">
        <v>30</v>
      </c>
      <c r="V15" t="s">
        <v>29</v>
      </c>
      <c r="W15" s="2" t="s">
        <v>17</v>
      </c>
      <c r="X15" s="7">
        <f>+(H228+AH17)*2</f>
        <v>2298871.0119999996</v>
      </c>
      <c r="Y15" s="1">
        <v>35</v>
      </c>
      <c r="Z15" s="1">
        <f t="shared" si="11"/>
        <v>80460485.41999999</v>
      </c>
      <c r="AA15" s="1"/>
      <c r="AB15" s="3" t="s">
        <v>49</v>
      </c>
      <c r="AC15" s="1" t="s">
        <v>48</v>
      </c>
      <c r="AD15" s="1">
        <v>1</v>
      </c>
      <c r="AE15">
        <v>30000</v>
      </c>
      <c r="AF15">
        <f t="shared" si="12"/>
        <v>30000</v>
      </c>
      <c r="AN15" t="s">
        <v>147</v>
      </c>
      <c r="AO15" t="s">
        <v>148</v>
      </c>
      <c r="AP15">
        <v>1</v>
      </c>
      <c r="AQ15">
        <v>250000</v>
      </c>
      <c r="AR15">
        <f>+AP15*AQ15</f>
        <v>250000</v>
      </c>
    </row>
    <row r="16" spans="1:40" ht="12.75">
      <c r="A16">
        <f t="shared" si="0"/>
        <v>13</v>
      </c>
      <c r="D16" t="s">
        <v>30</v>
      </c>
      <c r="E16" s="23">
        <f t="shared" si="1"/>
        <v>14</v>
      </c>
      <c r="F16" s="1">
        <v>5730</v>
      </c>
      <c r="G16" s="3">
        <f>5730/F16</f>
        <v>1</v>
      </c>
      <c r="H16" s="1">
        <v>1137.0424</v>
      </c>
      <c r="I16" s="1">
        <f t="shared" si="9"/>
        <v>346.57052352000005</v>
      </c>
      <c r="J16" s="1">
        <f t="shared" si="2"/>
        <v>195775.5553</v>
      </c>
      <c r="K16" s="85">
        <f t="shared" si="3"/>
        <v>37.07870365530303</v>
      </c>
      <c r="L16" s="85">
        <f t="shared" si="4"/>
        <v>59.67238925544</v>
      </c>
      <c r="M16" s="14">
        <v>162</v>
      </c>
      <c r="N16" s="1">
        <f t="shared" si="5"/>
        <v>162</v>
      </c>
      <c r="O16" s="1">
        <f t="shared" si="6"/>
        <v>8186.705280000041</v>
      </c>
      <c r="P16" s="15">
        <v>200</v>
      </c>
      <c r="Q16" s="1">
        <f t="shared" si="10"/>
        <v>200</v>
      </c>
      <c r="R16" s="1">
        <f t="shared" si="7"/>
        <v>10107.043555555607</v>
      </c>
      <c r="S16" s="1">
        <f t="shared" si="8"/>
        <v>3648.642723555575</v>
      </c>
      <c r="U16" s="55"/>
      <c r="V16" s="55" t="s">
        <v>31</v>
      </c>
      <c r="W16" s="2" t="s">
        <v>17</v>
      </c>
      <c r="X16" s="7">
        <f>+H228*0.08</f>
        <v>83594.84047999998</v>
      </c>
      <c r="Y16" s="1">
        <v>40</v>
      </c>
      <c r="Z16" s="1">
        <f t="shared" si="11"/>
        <v>3343793.6191999996</v>
      </c>
      <c r="AA16" s="1"/>
      <c r="AB16" s="3"/>
      <c r="AC16" s="1"/>
      <c r="AD16" s="1"/>
      <c r="AF16">
        <f>SUM(AF6:AF15)</f>
        <v>2984085</v>
      </c>
      <c r="AN16" s="5" t="s">
        <v>145</v>
      </c>
    </row>
    <row r="17" spans="1:44" ht="12.75">
      <c r="A17">
        <f t="shared" si="0"/>
        <v>14</v>
      </c>
      <c r="D17" t="s">
        <v>30</v>
      </c>
      <c r="E17" s="23">
        <f t="shared" si="1"/>
        <v>15</v>
      </c>
      <c r="F17" s="1"/>
      <c r="G17" s="3"/>
      <c r="H17" s="1">
        <v>6148.0184</v>
      </c>
      <c r="I17" s="1">
        <f t="shared" si="9"/>
        <v>1873.9160083200002</v>
      </c>
      <c r="J17" s="1">
        <f t="shared" si="2"/>
        <v>201923.5737</v>
      </c>
      <c r="K17" s="85">
        <f t="shared" si="3"/>
        <v>38.243101079545454</v>
      </c>
      <c r="L17" s="85">
        <f t="shared" si="4"/>
        <v>61.546305263760004</v>
      </c>
      <c r="M17" s="14">
        <v>162</v>
      </c>
      <c r="N17" s="1">
        <f t="shared" si="5"/>
        <v>162</v>
      </c>
      <c r="O17" s="1">
        <f t="shared" si="6"/>
        <v>44265.732480000006</v>
      </c>
      <c r="P17" s="15">
        <v>200</v>
      </c>
      <c r="Q17" s="1">
        <f t="shared" si="10"/>
        <v>200</v>
      </c>
      <c r="R17" s="1">
        <f t="shared" si="7"/>
        <v>54649.05244444445</v>
      </c>
      <c r="S17" s="1">
        <f t="shared" si="8"/>
        <v>19728.307932444448</v>
      </c>
      <c r="U17" s="55"/>
      <c r="V17" s="55" t="s">
        <v>139</v>
      </c>
      <c r="W17" s="2" t="s">
        <v>17</v>
      </c>
      <c r="X17" s="7">
        <f>+H228*0.08</f>
        <v>83594.84047999998</v>
      </c>
      <c r="Y17" s="1">
        <v>30</v>
      </c>
      <c r="Z17" s="1">
        <f aca="true" t="shared" si="13" ref="Z17:Z29">+X17*Y17</f>
        <v>2507845.2143999995</v>
      </c>
      <c r="AA17" s="1"/>
      <c r="AB17" s="3"/>
      <c r="AC17" s="1"/>
      <c r="AD17" s="1"/>
      <c r="AH17">
        <f>+AI8+AK14+AL14</f>
        <v>104500</v>
      </c>
      <c r="AI17" t="s">
        <v>72</v>
      </c>
      <c r="AN17" t="s">
        <v>146</v>
      </c>
      <c r="AO17" t="s">
        <v>11</v>
      </c>
      <c r="AP17">
        <v>20000</v>
      </c>
      <c r="AQ17">
        <v>120</v>
      </c>
      <c r="AR17">
        <f>+AP17*AQ17</f>
        <v>2400000</v>
      </c>
    </row>
    <row r="18" spans="1:44" ht="12.75">
      <c r="A18">
        <f t="shared" si="0"/>
        <v>15</v>
      </c>
      <c r="D18" t="s">
        <v>30</v>
      </c>
      <c r="E18" s="23">
        <f t="shared" si="1"/>
        <v>16</v>
      </c>
      <c r="F18" s="1">
        <v>5730</v>
      </c>
      <c r="G18" s="3">
        <f>5730/F18</f>
        <v>1</v>
      </c>
      <c r="H18" s="1">
        <v>1203.518</v>
      </c>
      <c r="I18" s="1">
        <f t="shared" si="9"/>
        <v>366.83228640000004</v>
      </c>
      <c r="J18" s="1">
        <f t="shared" si="2"/>
        <v>203127.09170000002</v>
      </c>
      <c r="K18" s="85">
        <f t="shared" si="3"/>
        <v>38.471040094696974</v>
      </c>
      <c r="L18" s="85">
        <f t="shared" si="4"/>
        <v>61.91313755016</v>
      </c>
      <c r="M18" s="14">
        <v>0</v>
      </c>
      <c r="N18" s="1">
        <f t="shared" si="5"/>
        <v>81</v>
      </c>
      <c r="O18" s="1">
        <f t="shared" si="6"/>
        <v>4332.66480000004</v>
      </c>
      <c r="P18" s="15">
        <v>480</v>
      </c>
      <c r="Q18" s="1">
        <f t="shared" si="10"/>
        <v>340</v>
      </c>
      <c r="R18" s="1">
        <f t="shared" si="7"/>
        <v>18186.494222222387</v>
      </c>
      <c r="S18" s="1">
        <f t="shared" si="8"/>
        <v>26322.27590222246</v>
      </c>
      <c r="U18" s="55"/>
      <c r="V18" s="1" t="s">
        <v>34</v>
      </c>
      <c r="W18" s="2" t="s">
        <v>32</v>
      </c>
      <c r="X18" s="7">
        <f>+H228*0.2*60/9</f>
        <v>1393247.3413333332</v>
      </c>
      <c r="Y18" s="1">
        <v>2</v>
      </c>
      <c r="Z18" s="1">
        <f t="shared" si="13"/>
        <v>2786494.6826666663</v>
      </c>
      <c r="AA18" s="1"/>
      <c r="AB18" s="3"/>
      <c r="AC18" s="1"/>
      <c r="AD18" s="1"/>
      <c r="AH18" s="1">
        <f>+AH17/5280</f>
        <v>19.791666666666668</v>
      </c>
      <c r="AI18" t="s">
        <v>71</v>
      </c>
      <c r="AN18" t="s">
        <v>147</v>
      </c>
      <c r="AO18" t="s">
        <v>148</v>
      </c>
      <c r="AP18">
        <v>1</v>
      </c>
      <c r="AQ18">
        <v>1000000</v>
      </c>
      <c r="AR18">
        <f>+AP18*AQ18</f>
        <v>1000000</v>
      </c>
    </row>
    <row r="19" spans="1:44" ht="12.75">
      <c r="A19">
        <f t="shared" si="0"/>
        <v>16</v>
      </c>
      <c r="D19" t="s">
        <v>30</v>
      </c>
      <c r="E19" s="23">
        <f t="shared" si="1"/>
        <v>17</v>
      </c>
      <c r="F19" s="1"/>
      <c r="G19" s="3"/>
      <c r="H19" s="1">
        <v>3598.6253</v>
      </c>
      <c r="I19" s="1">
        <f t="shared" si="9"/>
        <v>1096.8609914400001</v>
      </c>
      <c r="J19" s="1">
        <f t="shared" si="2"/>
        <v>206725.71700000003</v>
      </c>
      <c r="K19" s="85">
        <f t="shared" si="3"/>
        <v>39.15259791666667</v>
      </c>
      <c r="L19" s="85">
        <f t="shared" si="4"/>
        <v>63.009998541600005</v>
      </c>
      <c r="M19" s="14">
        <v>0</v>
      </c>
      <c r="N19" s="1">
        <f t="shared" si="5"/>
        <v>0</v>
      </c>
      <c r="O19" s="1">
        <f t="shared" si="6"/>
        <v>0</v>
      </c>
      <c r="P19" s="15">
        <v>480</v>
      </c>
      <c r="Q19" s="1">
        <f t="shared" si="10"/>
        <v>480</v>
      </c>
      <c r="R19" s="1">
        <f t="shared" si="7"/>
        <v>76770.67306666698</v>
      </c>
      <c r="S19" s="1">
        <f t="shared" si="8"/>
        <v>145864.27882666726</v>
      </c>
      <c r="U19" s="55"/>
      <c r="V19" t="s">
        <v>35</v>
      </c>
      <c r="W19" s="2" t="s">
        <v>26</v>
      </c>
      <c r="X19" s="45">
        <v>7</v>
      </c>
      <c r="Y19" s="1">
        <f>+AF16</f>
        <v>2984085</v>
      </c>
      <c r="Z19" s="1">
        <f t="shared" si="13"/>
        <v>20888595</v>
      </c>
      <c r="AA19" s="1"/>
      <c r="AB19" s="3"/>
      <c r="AC19" s="1"/>
      <c r="AD19" s="1"/>
      <c r="AR19">
        <f>SUM(AR8:AR18)</f>
        <v>5950000</v>
      </c>
    </row>
    <row r="20" spans="1:30" ht="12.75">
      <c r="A20">
        <f t="shared" si="0"/>
        <v>17</v>
      </c>
      <c r="D20" t="s">
        <v>30</v>
      </c>
      <c r="E20" s="23">
        <f t="shared" si="1"/>
        <v>18</v>
      </c>
      <c r="F20" s="1">
        <v>2865</v>
      </c>
      <c r="G20" s="3">
        <f>5730/F20</f>
        <v>2</v>
      </c>
      <c r="H20" s="1">
        <v>2634.5484</v>
      </c>
      <c r="I20" s="1">
        <f t="shared" si="9"/>
        <v>803.01035232</v>
      </c>
      <c r="J20" s="1">
        <f t="shared" si="2"/>
        <v>209360.26540000003</v>
      </c>
      <c r="K20" s="85">
        <f t="shared" si="3"/>
        <v>39.65156541666667</v>
      </c>
      <c r="L20" s="85">
        <f t="shared" si="4"/>
        <v>63.813008893920006</v>
      </c>
      <c r="M20" s="14">
        <v>0</v>
      </c>
      <c r="N20" s="1">
        <f t="shared" si="5"/>
        <v>0</v>
      </c>
      <c r="O20" s="1">
        <f t="shared" si="6"/>
        <v>0</v>
      </c>
      <c r="P20" s="15">
        <v>480</v>
      </c>
      <c r="Q20" s="1">
        <f t="shared" si="10"/>
        <v>480</v>
      </c>
      <c r="R20" s="1">
        <f t="shared" si="7"/>
        <v>56203.699199999995</v>
      </c>
      <c r="S20" s="1">
        <f t="shared" si="8"/>
        <v>106787.02848</v>
      </c>
      <c r="V20" t="s">
        <v>55</v>
      </c>
      <c r="W20" s="2" t="s">
        <v>57</v>
      </c>
      <c r="X20" s="7">
        <v>4</v>
      </c>
      <c r="Y20" s="1">
        <v>500000</v>
      </c>
      <c r="Z20" s="1">
        <f t="shared" si="13"/>
        <v>2000000</v>
      </c>
      <c r="AA20" s="1"/>
      <c r="AB20" s="3"/>
      <c r="AC20" s="1"/>
      <c r="AD20" s="1"/>
    </row>
    <row r="21" spans="1:30" ht="12.75">
      <c r="A21">
        <f t="shared" si="0"/>
        <v>18</v>
      </c>
      <c r="D21" t="s">
        <v>30</v>
      </c>
      <c r="E21" s="23">
        <f t="shared" si="1"/>
        <v>19</v>
      </c>
      <c r="G21" s="3"/>
      <c r="H21" s="1">
        <v>20635.4003</v>
      </c>
      <c r="I21" s="1">
        <f t="shared" si="9"/>
        <v>6289.670011440001</v>
      </c>
      <c r="J21" s="1">
        <f t="shared" si="2"/>
        <v>229995.66570000004</v>
      </c>
      <c r="K21" s="85">
        <f t="shared" si="3"/>
        <v>43.55978517045455</v>
      </c>
      <c r="L21" s="85">
        <f t="shared" si="4"/>
        <v>70.10267890536001</v>
      </c>
      <c r="M21" s="14">
        <v>0</v>
      </c>
      <c r="N21" s="1">
        <f t="shared" si="5"/>
        <v>0</v>
      </c>
      <c r="O21" s="1">
        <f t="shared" si="6"/>
        <v>0</v>
      </c>
      <c r="P21" s="15">
        <v>480</v>
      </c>
      <c r="Q21" s="1">
        <f t="shared" si="10"/>
        <v>480</v>
      </c>
      <c r="R21" s="1">
        <f t="shared" si="7"/>
        <v>440221.8730666668</v>
      </c>
      <c r="S21" s="1">
        <f t="shared" si="8"/>
        <v>836421.5588266669</v>
      </c>
      <c r="V21" t="s">
        <v>50</v>
      </c>
      <c r="W21" s="2" t="s">
        <v>17</v>
      </c>
      <c r="X21" s="53">
        <v>2800</v>
      </c>
      <c r="Y21" s="54">
        <v>20000</v>
      </c>
      <c r="Z21" s="53">
        <f t="shared" si="13"/>
        <v>56000000</v>
      </c>
      <c r="AA21" s="1"/>
      <c r="AB21" s="3"/>
      <c r="AC21" s="1"/>
      <c r="AD21" s="1"/>
    </row>
    <row r="22" spans="1:30" ht="12.75">
      <c r="A22">
        <f t="shared" si="0"/>
        <v>19</v>
      </c>
      <c r="D22" t="s">
        <v>30</v>
      </c>
      <c r="E22" s="23">
        <f t="shared" si="1"/>
        <v>20</v>
      </c>
      <c r="F22" s="1">
        <v>2865</v>
      </c>
      <c r="G22" s="3">
        <f>5730/F22</f>
        <v>2</v>
      </c>
      <c r="H22" s="1">
        <v>902.0107</v>
      </c>
      <c r="I22" s="1">
        <f t="shared" si="9"/>
        <v>274.93286136</v>
      </c>
      <c r="J22" s="1">
        <f t="shared" si="2"/>
        <v>230897.67640000005</v>
      </c>
      <c r="K22" s="85">
        <f t="shared" si="3"/>
        <v>43.73062053030304</v>
      </c>
      <c r="L22" s="85">
        <f t="shared" si="4"/>
        <v>70.37761176672001</v>
      </c>
      <c r="M22" s="14">
        <v>0</v>
      </c>
      <c r="N22" s="1">
        <f t="shared" si="5"/>
        <v>0</v>
      </c>
      <c r="O22" s="1">
        <f t="shared" si="6"/>
        <v>0</v>
      </c>
      <c r="P22" s="15">
        <v>480</v>
      </c>
      <c r="Q22" s="1">
        <f t="shared" si="10"/>
        <v>480</v>
      </c>
      <c r="R22" s="1">
        <f t="shared" si="7"/>
        <v>19242.89493333362</v>
      </c>
      <c r="S22" s="1">
        <f t="shared" si="8"/>
        <v>36561.500373333874</v>
      </c>
      <c r="V22" t="s">
        <v>56</v>
      </c>
      <c r="W22" s="2" t="s">
        <v>57</v>
      </c>
      <c r="X22" s="7">
        <v>4</v>
      </c>
      <c r="Y22" s="1">
        <v>150000</v>
      </c>
      <c r="Z22" s="1">
        <f t="shared" si="13"/>
        <v>600000</v>
      </c>
      <c r="AA22" s="1"/>
      <c r="AB22" s="3"/>
      <c r="AC22" s="1"/>
      <c r="AD22" s="1"/>
    </row>
    <row r="23" spans="1:30" ht="12.75">
      <c r="A23">
        <f t="shared" si="0"/>
        <v>20</v>
      </c>
      <c r="D23" s="1" t="s">
        <v>30</v>
      </c>
      <c r="E23" s="23">
        <f t="shared" si="1"/>
        <v>21</v>
      </c>
      <c r="G23" s="3"/>
      <c r="H23" s="1">
        <v>13603.0629</v>
      </c>
      <c r="I23" s="1">
        <f t="shared" si="9"/>
        <v>4146.2135719200005</v>
      </c>
      <c r="J23" s="1">
        <f t="shared" si="2"/>
        <v>244500.73930000004</v>
      </c>
      <c r="K23" s="85">
        <f t="shared" si="3"/>
        <v>46.306958200757585</v>
      </c>
      <c r="L23" s="85">
        <f t="shared" si="4"/>
        <v>74.52382533864001</v>
      </c>
      <c r="M23" s="14">
        <v>0</v>
      </c>
      <c r="N23" s="1">
        <f t="shared" si="5"/>
        <v>0</v>
      </c>
      <c r="O23" s="1">
        <f t="shared" si="6"/>
        <v>0</v>
      </c>
      <c r="P23" s="15">
        <v>480</v>
      </c>
      <c r="Q23" s="1">
        <f t="shared" si="10"/>
        <v>480</v>
      </c>
      <c r="R23" s="1">
        <f t="shared" si="7"/>
        <v>290198.67519999977</v>
      </c>
      <c r="S23" s="1">
        <f t="shared" si="8"/>
        <v>551377.4828799996</v>
      </c>
      <c r="V23" t="s">
        <v>51</v>
      </c>
      <c r="W23" s="2" t="s">
        <v>141</v>
      </c>
      <c r="X23" s="7">
        <f>+H228*0.1*40/9</f>
        <v>464415.7804444444</v>
      </c>
      <c r="Y23" s="1">
        <v>5</v>
      </c>
      <c r="Z23" s="1">
        <f t="shared" si="13"/>
        <v>2322078.9022222217</v>
      </c>
      <c r="AA23" s="1"/>
      <c r="AB23" s="3"/>
      <c r="AC23" s="1"/>
      <c r="AD23" s="1"/>
    </row>
    <row r="24" spans="1:30" ht="12.75">
      <c r="A24">
        <f t="shared" si="0"/>
        <v>21</v>
      </c>
      <c r="B24" s="1"/>
      <c r="C24" s="1"/>
      <c r="D24" t="s">
        <v>30</v>
      </c>
      <c r="E24" s="23">
        <f t="shared" si="1"/>
        <v>22</v>
      </c>
      <c r="F24" s="1">
        <v>2865</v>
      </c>
      <c r="G24" s="3">
        <f>5730/F24</f>
        <v>2</v>
      </c>
      <c r="H24" s="1">
        <v>1705.2986</v>
      </c>
      <c r="I24" s="1">
        <f t="shared" si="9"/>
        <v>519.77501328</v>
      </c>
      <c r="J24" s="1">
        <f t="shared" si="2"/>
        <v>246206.03790000005</v>
      </c>
      <c r="K24" s="85">
        <f t="shared" si="3"/>
        <v>46.629931420454554</v>
      </c>
      <c r="L24" s="85">
        <f t="shared" si="4"/>
        <v>75.04360035192</v>
      </c>
      <c r="M24" s="14">
        <v>0</v>
      </c>
      <c r="N24" s="1">
        <f t="shared" si="5"/>
        <v>0</v>
      </c>
      <c r="O24" s="1">
        <f t="shared" si="6"/>
        <v>0</v>
      </c>
      <c r="P24" s="15">
        <v>480</v>
      </c>
      <c r="Q24" s="1">
        <f t="shared" si="10"/>
        <v>480</v>
      </c>
      <c r="R24" s="1">
        <f t="shared" si="7"/>
        <v>36379.70346666686</v>
      </c>
      <c r="S24" s="1">
        <f t="shared" si="8"/>
        <v>69121.43658666704</v>
      </c>
      <c r="U24" t="s">
        <v>30</v>
      </c>
      <c r="V24" t="s">
        <v>52</v>
      </c>
      <c r="W24" s="2" t="s">
        <v>26</v>
      </c>
      <c r="X24" s="7">
        <v>30</v>
      </c>
      <c r="Y24" s="1">
        <v>50000</v>
      </c>
      <c r="Z24" s="1">
        <f t="shared" si="13"/>
        <v>1500000</v>
      </c>
      <c r="AA24" s="1"/>
      <c r="AB24" s="3"/>
      <c r="AC24" s="1"/>
      <c r="AD24" s="1"/>
    </row>
    <row r="25" spans="1:30" ht="12.75">
      <c r="A25">
        <f t="shared" si="0"/>
        <v>22</v>
      </c>
      <c r="D25" s="1" t="s">
        <v>30</v>
      </c>
      <c r="E25" s="23">
        <f t="shared" si="1"/>
        <v>23</v>
      </c>
      <c r="G25" s="3"/>
      <c r="H25" s="1">
        <v>6397.3368</v>
      </c>
      <c r="I25" s="1">
        <f t="shared" si="9"/>
        <v>1949.9082566400002</v>
      </c>
      <c r="J25" s="1">
        <f t="shared" si="2"/>
        <v>252603.37470000004</v>
      </c>
      <c r="K25" s="85">
        <f t="shared" si="3"/>
        <v>47.84154823863637</v>
      </c>
      <c r="L25" s="85">
        <f t="shared" si="4"/>
        <v>76.99350860856</v>
      </c>
      <c r="M25" s="14">
        <v>0</v>
      </c>
      <c r="N25" s="1">
        <f t="shared" si="5"/>
        <v>0</v>
      </c>
      <c r="O25" s="1">
        <f t="shared" si="6"/>
        <v>0</v>
      </c>
      <c r="P25" s="15">
        <v>480</v>
      </c>
      <c r="Q25" s="1">
        <f t="shared" si="10"/>
        <v>480</v>
      </c>
      <c r="R25" s="1">
        <f t="shared" si="7"/>
        <v>136476.5183999998</v>
      </c>
      <c r="S25" s="1">
        <f t="shared" si="8"/>
        <v>259305.3849599996</v>
      </c>
      <c r="V25" t="s">
        <v>140</v>
      </c>
      <c r="W25" s="2" t="s">
        <v>57</v>
      </c>
      <c r="X25" s="7">
        <v>1</v>
      </c>
      <c r="Y25" s="1">
        <f>+H229*100000</f>
        <v>19790445.189393934</v>
      </c>
      <c r="Z25" s="1">
        <f t="shared" si="13"/>
        <v>19790445.189393934</v>
      </c>
      <c r="AA25" s="1"/>
      <c r="AB25" s="3"/>
      <c r="AC25" s="1"/>
      <c r="AD25" s="1"/>
    </row>
    <row r="26" spans="1:30" ht="12.75">
      <c r="A26">
        <f t="shared" si="0"/>
        <v>23</v>
      </c>
      <c r="B26" s="1"/>
      <c r="C26" s="1"/>
      <c r="D26" t="s">
        <v>30</v>
      </c>
      <c r="E26" s="23">
        <f t="shared" si="1"/>
        <v>24</v>
      </c>
      <c r="F26" s="1">
        <v>2865</v>
      </c>
      <c r="G26" s="3">
        <f>5730/F26</f>
        <v>2</v>
      </c>
      <c r="H26" s="1">
        <v>844.4821</v>
      </c>
      <c r="I26" s="1">
        <f t="shared" si="9"/>
        <v>257.39814408</v>
      </c>
      <c r="J26" s="1">
        <f t="shared" si="2"/>
        <v>253447.85680000004</v>
      </c>
      <c r="K26" s="85">
        <f t="shared" si="3"/>
        <v>48.00148803030304</v>
      </c>
      <c r="L26" s="85">
        <f t="shared" si="4"/>
        <v>77.25090675264</v>
      </c>
      <c r="M26" s="14">
        <v>0</v>
      </c>
      <c r="N26" s="1">
        <f t="shared" si="5"/>
        <v>0</v>
      </c>
      <c r="O26" s="1">
        <f t="shared" si="6"/>
        <v>0</v>
      </c>
      <c r="P26" s="15">
        <v>480</v>
      </c>
      <c r="Q26" s="1">
        <f t="shared" si="10"/>
        <v>480</v>
      </c>
      <c r="R26" s="1">
        <f t="shared" si="7"/>
        <v>18015.618133333202</v>
      </c>
      <c r="S26" s="1">
        <f t="shared" si="8"/>
        <v>34229.674453333086</v>
      </c>
      <c r="V26" t="s">
        <v>53</v>
      </c>
      <c r="W26" s="2" t="s">
        <v>57</v>
      </c>
      <c r="X26" s="7">
        <v>1</v>
      </c>
      <c r="Y26" s="1">
        <v>1000000</v>
      </c>
      <c r="Z26" s="1">
        <f t="shared" si="13"/>
        <v>1000000</v>
      </c>
      <c r="AA26" s="1"/>
      <c r="AB26" s="3"/>
      <c r="AC26" s="1"/>
      <c r="AD26" s="1"/>
    </row>
    <row r="27" spans="1:30" ht="12.75">
      <c r="A27">
        <f t="shared" si="0"/>
        <v>24</v>
      </c>
      <c r="D27" s="1" t="s">
        <v>30</v>
      </c>
      <c r="E27" s="23">
        <f t="shared" si="1"/>
        <v>25</v>
      </c>
      <c r="F27" s="1"/>
      <c r="G27" s="3"/>
      <c r="H27" s="1">
        <v>5494.354</v>
      </c>
      <c r="I27" s="1">
        <f t="shared" si="9"/>
        <v>1674.6790992</v>
      </c>
      <c r="J27" s="1">
        <f t="shared" si="2"/>
        <v>258942.21080000003</v>
      </c>
      <c r="K27" s="85">
        <f t="shared" si="3"/>
        <v>49.04208537878788</v>
      </c>
      <c r="L27" s="85">
        <f t="shared" si="4"/>
        <v>78.92558585184001</v>
      </c>
      <c r="M27" s="14">
        <v>0</v>
      </c>
      <c r="N27" s="1">
        <f t="shared" si="5"/>
        <v>0</v>
      </c>
      <c r="O27" s="1">
        <f t="shared" si="6"/>
        <v>0</v>
      </c>
      <c r="P27" s="15">
        <v>480</v>
      </c>
      <c r="Q27" s="1">
        <f t="shared" si="10"/>
        <v>480</v>
      </c>
      <c r="R27" s="1">
        <f t="shared" si="7"/>
        <v>117212.88533333316</v>
      </c>
      <c r="S27" s="1">
        <f t="shared" si="8"/>
        <v>222704.482133333</v>
      </c>
      <c r="V27" t="s">
        <v>54</v>
      </c>
      <c r="W27" s="2" t="s">
        <v>57</v>
      </c>
      <c r="X27" s="7">
        <v>4</v>
      </c>
      <c r="Y27" s="1">
        <v>300000</v>
      </c>
      <c r="Z27" s="1">
        <f t="shared" si="13"/>
        <v>1200000</v>
      </c>
      <c r="AA27" s="1"/>
      <c r="AB27" s="3"/>
      <c r="AC27" s="1"/>
      <c r="AD27" s="1"/>
    </row>
    <row r="28" spans="1:30" ht="12.75">
      <c r="A28">
        <f t="shared" si="0"/>
        <v>25</v>
      </c>
      <c r="D28" t="s">
        <v>30</v>
      </c>
      <c r="E28" s="23">
        <f t="shared" si="1"/>
        <v>26</v>
      </c>
      <c r="F28" s="1">
        <v>2865</v>
      </c>
      <c r="G28" s="3">
        <f>5730/F28</f>
        <v>2</v>
      </c>
      <c r="H28" s="1">
        <v>1183.3624</v>
      </c>
      <c r="I28" s="1">
        <f t="shared" si="9"/>
        <v>360.68885952</v>
      </c>
      <c r="J28" s="1">
        <f t="shared" si="2"/>
        <v>260125.57320000004</v>
      </c>
      <c r="K28" s="85">
        <f t="shared" si="3"/>
        <v>49.26620704545455</v>
      </c>
      <c r="L28" s="85">
        <f t="shared" si="4"/>
        <v>79.28627471136001</v>
      </c>
      <c r="M28" s="14">
        <v>0</v>
      </c>
      <c r="N28" s="1">
        <f t="shared" si="5"/>
        <v>0</v>
      </c>
      <c r="O28" s="1">
        <f t="shared" si="6"/>
        <v>0</v>
      </c>
      <c r="P28" s="15">
        <v>480</v>
      </c>
      <c r="Q28" s="1">
        <f t="shared" si="10"/>
        <v>480</v>
      </c>
      <c r="R28" s="1">
        <f t="shared" si="7"/>
        <v>25245.064533333603</v>
      </c>
      <c r="S28" s="1">
        <f t="shared" si="8"/>
        <v>47965.62261333384</v>
      </c>
      <c r="V28" t="s">
        <v>67</v>
      </c>
      <c r="W28" s="2" t="s">
        <v>17</v>
      </c>
      <c r="X28" s="7">
        <f>+AH17</f>
        <v>104500</v>
      </c>
      <c r="Y28" s="1">
        <f>+(Z11+Z12+Z13+Z14+Z15+Z16+Z10)/H228</f>
        <v>344.21931951657933</v>
      </c>
      <c r="Z28" s="1">
        <f t="shared" si="13"/>
        <v>35970918.88948254</v>
      </c>
      <c r="AA28" s="1"/>
      <c r="AB28" s="3"/>
      <c r="AC28" s="1"/>
      <c r="AD28" s="1"/>
    </row>
    <row r="29" spans="1:30" ht="12.75">
      <c r="A29">
        <f t="shared" si="0"/>
        <v>26</v>
      </c>
      <c r="D29" s="1" t="s">
        <v>30</v>
      </c>
      <c r="E29" s="23">
        <f t="shared" si="1"/>
        <v>27</v>
      </c>
      <c r="F29" s="1"/>
      <c r="G29" s="3"/>
      <c r="H29" s="1">
        <v>3941.2175</v>
      </c>
      <c r="I29" s="1">
        <f t="shared" si="9"/>
        <v>1201.2830940000001</v>
      </c>
      <c r="J29" s="1">
        <f t="shared" si="2"/>
        <v>264066.79070000007</v>
      </c>
      <c r="K29" s="85">
        <f t="shared" si="3"/>
        <v>50.01264975378789</v>
      </c>
      <c r="L29" s="85">
        <f t="shared" si="4"/>
        <v>80.48755780536001</v>
      </c>
      <c r="M29" s="14">
        <v>0</v>
      </c>
      <c r="N29" s="1">
        <f t="shared" si="5"/>
        <v>0</v>
      </c>
      <c r="O29" s="1">
        <f t="shared" si="6"/>
        <v>0</v>
      </c>
      <c r="P29" s="15">
        <v>480</v>
      </c>
      <c r="Q29" s="1">
        <f t="shared" si="10"/>
        <v>480</v>
      </c>
      <c r="R29" s="1">
        <f t="shared" si="7"/>
        <v>84079.30666666727</v>
      </c>
      <c r="S29" s="1">
        <f t="shared" si="8"/>
        <v>159750.6826666678</v>
      </c>
      <c r="V29" t="s">
        <v>59</v>
      </c>
      <c r="W29" s="2"/>
      <c r="X29" s="7">
        <v>1</v>
      </c>
      <c r="Y29" s="1">
        <f>'Multi-Modal Bridges'!$I$121</f>
        <v>142899368.22800022</v>
      </c>
      <c r="Z29" s="81">
        <f t="shared" si="13"/>
        <v>142899368.22800022</v>
      </c>
      <c r="AA29" s="1"/>
      <c r="AB29" s="3"/>
      <c r="AC29" s="1"/>
      <c r="AD29" s="1"/>
    </row>
    <row r="30" spans="1:30" ht="12.75">
      <c r="A30">
        <f t="shared" si="0"/>
        <v>27</v>
      </c>
      <c r="D30" t="s">
        <v>30</v>
      </c>
      <c r="E30" s="23">
        <f t="shared" si="1"/>
        <v>28</v>
      </c>
      <c r="F30" s="1">
        <v>5730</v>
      </c>
      <c r="G30" s="3">
        <f>5730/F30</f>
        <v>1</v>
      </c>
      <c r="H30" s="1">
        <v>2266.3811</v>
      </c>
      <c r="I30" s="1">
        <f t="shared" si="9"/>
        <v>690.7929592800001</v>
      </c>
      <c r="J30" s="1">
        <f t="shared" si="2"/>
        <v>266333.17180000007</v>
      </c>
      <c r="K30" s="85">
        <f t="shared" si="3"/>
        <v>50.44188859848486</v>
      </c>
      <c r="L30" s="85">
        <f t="shared" si="4"/>
        <v>81.17835076464002</v>
      </c>
      <c r="M30" s="14">
        <v>0</v>
      </c>
      <c r="N30" s="1">
        <f t="shared" si="5"/>
        <v>0</v>
      </c>
      <c r="O30" s="1">
        <f t="shared" si="6"/>
        <v>0</v>
      </c>
      <c r="P30" s="15">
        <v>480</v>
      </c>
      <c r="Q30" s="1">
        <f t="shared" si="10"/>
        <v>480</v>
      </c>
      <c r="R30" s="1">
        <f t="shared" si="7"/>
        <v>48349.46346666664</v>
      </c>
      <c r="S30" s="1">
        <f t="shared" si="8"/>
        <v>91863.98058666661</v>
      </c>
      <c r="V30" t="s">
        <v>151</v>
      </c>
      <c r="Z30" s="1">
        <f>+AR19</f>
        <v>5950000</v>
      </c>
      <c r="AA30" s="1"/>
      <c r="AB30" s="3"/>
      <c r="AC30" s="1"/>
      <c r="AD30" s="1"/>
    </row>
    <row r="31" spans="1:30" ht="12.75">
      <c r="A31">
        <f t="shared" si="0"/>
        <v>28</v>
      </c>
      <c r="D31" s="1" t="s">
        <v>30</v>
      </c>
      <c r="E31" s="23">
        <f t="shared" si="1"/>
        <v>29</v>
      </c>
      <c r="F31" s="1"/>
      <c r="G31" s="3"/>
      <c r="H31" s="1">
        <v>3971.2311</v>
      </c>
      <c r="I31" s="1">
        <f t="shared" si="9"/>
        <v>1210.43123928</v>
      </c>
      <c r="J31" s="1">
        <f t="shared" si="2"/>
        <v>270304.40290000004</v>
      </c>
      <c r="K31" s="85">
        <f t="shared" si="3"/>
        <v>51.19401570075758</v>
      </c>
      <c r="L31" s="85">
        <f t="shared" si="4"/>
        <v>82.38878200392001</v>
      </c>
      <c r="M31" s="14">
        <v>0</v>
      </c>
      <c r="N31" s="1">
        <f t="shared" si="5"/>
        <v>0</v>
      </c>
      <c r="O31" s="1">
        <f t="shared" si="6"/>
        <v>0</v>
      </c>
      <c r="P31" s="15">
        <v>480</v>
      </c>
      <c r="Q31" s="1">
        <f t="shared" si="10"/>
        <v>480</v>
      </c>
      <c r="R31" s="1">
        <f t="shared" si="7"/>
        <v>84719.59679999948</v>
      </c>
      <c r="S31" s="1">
        <f t="shared" si="8"/>
        <v>160967.233919999</v>
      </c>
      <c r="V31" s="6" t="s">
        <v>58</v>
      </c>
      <c r="W31" s="2"/>
      <c r="Z31" s="7">
        <f>SUM(Z6:Z30)</f>
        <v>710471873.4863217</v>
      </c>
      <c r="AA31" s="1"/>
      <c r="AB31" s="3">
        <f>+Z31-Z29</f>
        <v>567572505.2583215</v>
      </c>
      <c r="AC31" s="1"/>
      <c r="AD31" s="1"/>
    </row>
    <row r="32" spans="1:30" ht="12.75">
      <c r="A32">
        <f t="shared" si="0"/>
        <v>29</v>
      </c>
      <c r="D32" t="s">
        <v>30</v>
      </c>
      <c r="E32" s="23">
        <f t="shared" si="1"/>
        <v>30</v>
      </c>
      <c r="F32" s="1">
        <v>2865</v>
      </c>
      <c r="G32" s="3">
        <f>5730/F32</f>
        <v>2</v>
      </c>
      <c r="H32" s="1">
        <v>2039.6866</v>
      </c>
      <c r="I32" s="1">
        <f t="shared" si="9"/>
        <v>621.69647568</v>
      </c>
      <c r="J32" s="1">
        <f t="shared" si="2"/>
        <v>272344.08950000006</v>
      </c>
      <c r="K32" s="85">
        <f t="shared" si="3"/>
        <v>51.58031998106062</v>
      </c>
      <c r="L32" s="85">
        <f t="shared" si="4"/>
        <v>83.01047847960001</v>
      </c>
      <c r="M32" s="14">
        <v>0</v>
      </c>
      <c r="N32" s="1">
        <f t="shared" si="5"/>
        <v>0</v>
      </c>
      <c r="O32" s="1">
        <f t="shared" si="6"/>
        <v>0</v>
      </c>
      <c r="P32" s="15">
        <v>315</v>
      </c>
      <c r="Q32" s="1">
        <f t="shared" si="10"/>
        <v>397.5</v>
      </c>
      <c r="R32" s="1">
        <f t="shared" si="7"/>
        <v>36034.46326666694</v>
      </c>
      <c r="S32" s="1">
        <f t="shared" si="8"/>
        <v>68465.48020666718</v>
      </c>
      <c r="V32" s="4" t="s">
        <v>60</v>
      </c>
      <c r="W32" s="2"/>
      <c r="Y32" s="1"/>
      <c r="Z32" s="7">
        <f>+Z31*0.2</f>
        <v>142094374.69726434</v>
      </c>
      <c r="AA32" s="1"/>
      <c r="AB32" s="3"/>
      <c r="AC32" s="1"/>
      <c r="AD32" s="1"/>
    </row>
    <row r="33" spans="1:30" ht="12.75">
      <c r="A33">
        <f t="shared" si="0"/>
        <v>30</v>
      </c>
      <c r="D33" s="1" t="s">
        <v>30</v>
      </c>
      <c r="E33" s="23">
        <f t="shared" si="1"/>
        <v>31</v>
      </c>
      <c r="F33" s="1"/>
      <c r="G33" s="3"/>
      <c r="H33" s="1">
        <v>4517.7637</v>
      </c>
      <c r="I33" s="1">
        <f t="shared" si="9"/>
        <v>1377.0143757600001</v>
      </c>
      <c r="J33" s="1">
        <f t="shared" si="2"/>
        <v>276861.85320000007</v>
      </c>
      <c r="K33" s="85">
        <f t="shared" si="3"/>
        <v>52.43595704545456</v>
      </c>
      <c r="L33" s="85">
        <f t="shared" si="4"/>
        <v>84.38749285536001</v>
      </c>
      <c r="M33" s="14">
        <v>0</v>
      </c>
      <c r="N33" s="1">
        <f t="shared" si="5"/>
        <v>0</v>
      </c>
      <c r="O33" s="1">
        <f t="shared" si="6"/>
        <v>0</v>
      </c>
      <c r="P33" s="15">
        <v>480</v>
      </c>
      <c r="Q33" s="1">
        <f t="shared" si="10"/>
        <v>397.5</v>
      </c>
      <c r="R33" s="1">
        <f t="shared" si="7"/>
        <v>79813.82536666685</v>
      </c>
      <c r="S33" s="1">
        <f t="shared" si="8"/>
        <v>151646.268196667</v>
      </c>
      <c r="V33" s="4" t="s">
        <v>61</v>
      </c>
      <c r="W33" s="2"/>
      <c r="Y33" s="1"/>
      <c r="Z33" s="7">
        <f>+Z31*0.15</f>
        <v>106570781.02294825</v>
      </c>
      <c r="AB33" s="3"/>
      <c r="AC33" s="1"/>
      <c r="AD33" s="1"/>
    </row>
    <row r="34" spans="1:30" ht="12.75">
      <c r="A34">
        <f t="shared" si="0"/>
        <v>31</v>
      </c>
      <c r="D34" t="s">
        <v>30</v>
      </c>
      <c r="E34" s="23">
        <f t="shared" si="1"/>
        <v>32</v>
      </c>
      <c r="F34" s="1">
        <v>2865</v>
      </c>
      <c r="G34" s="3">
        <f>5730/F34</f>
        <v>2</v>
      </c>
      <c r="H34" s="1">
        <v>1227.4429</v>
      </c>
      <c r="I34" s="1">
        <f t="shared" si="9"/>
        <v>374.12459592000005</v>
      </c>
      <c r="J34" s="1">
        <f t="shared" si="2"/>
        <v>278089.2961000001</v>
      </c>
      <c r="K34" s="85">
        <f t="shared" si="3"/>
        <v>52.66842729166668</v>
      </c>
      <c r="L34" s="85">
        <f t="shared" si="4"/>
        <v>84.76161745128</v>
      </c>
      <c r="M34" s="14">
        <v>0</v>
      </c>
      <c r="N34" s="1">
        <f t="shared" si="5"/>
        <v>0</v>
      </c>
      <c r="O34" s="1">
        <f t="shared" si="6"/>
        <v>0</v>
      </c>
      <c r="P34" s="15">
        <v>480</v>
      </c>
      <c r="Q34" s="1">
        <f t="shared" si="10"/>
        <v>480</v>
      </c>
      <c r="R34" s="1">
        <f t="shared" si="7"/>
        <v>26185.448533333838</v>
      </c>
      <c r="S34" s="1">
        <f t="shared" si="8"/>
        <v>49752.35221333429</v>
      </c>
      <c r="V34" t="s">
        <v>62</v>
      </c>
      <c r="W34" s="2"/>
      <c r="Y34" s="1"/>
      <c r="Z34" s="7">
        <f>+Z31+Z32+Z33</f>
        <v>959137029.2065343</v>
      </c>
      <c r="AA34" s="1"/>
      <c r="AB34" s="3"/>
      <c r="AC34" s="1"/>
      <c r="AD34" s="1"/>
    </row>
    <row r="35" spans="1:30" ht="12.75">
      <c r="A35">
        <f t="shared" si="0"/>
        <v>32</v>
      </c>
      <c r="D35" s="1" t="s">
        <v>30</v>
      </c>
      <c r="E35" s="23">
        <f t="shared" si="1"/>
        <v>33</v>
      </c>
      <c r="F35" s="1"/>
      <c r="G35" s="3"/>
      <c r="H35" s="1">
        <v>3474.1447</v>
      </c>
      <c r="I35" s="1">
        <f t="shared" si="9"/>
        <v>1058.91930456</v>
      </c>
      <c r="J35" s="1">
        <f t="shared" si="2"/>
        <v>281563.4408000001</v>
      </c>
      <c r="K35" s="85">
        <f t="shared" si="3"/>
        <v>53.32640924242426</v>
      </c>
      <c r="L35" s="85">
        <f t="shared" si="4"/>
        <v>85.82053675584001</v>
      </c>
      <c r="M35" s="14">
        <v>0</v>
      </c>
      <c r="N35" s="1">
        <f t="shared" si="5"/>
        <v>0</v>
      </c>
      <c r="O35" s="1">
        <f t="shared" si="6"/>
        <v>0</v>
      </c>
      <c r="P35" s="15">
        <v>480</v>
      </c>
      <c r="Q35" s="1">
        <f t="shared" si="10"/>
        <v>480</v>
      </c>
      <c r="R35" s="1">
        <f t="shared" si="7"/>
        <v>74115.08693333343</v>
      </c>
      <c r="S35" s="1">
        <f t="shared" si="8"/>
        <v>140818.66517333352</v>
      </c>
      <c r="V35" t="s">
        <v>64</v>
      </c>
      <c r="Y35" s="10">
        <f>+Z45*0.15</f>
        <v>178114006.7045454</v>
      </c>
      <c r="Z35" s="1"/>
      <c r="AA35" s="1"/>
      <c r="AB35" s="3"/>
      <c r="AC35" s="1"/>
      <c r="AD35" s="1"/>
    </row>
    <row r="36" spans="1:30" ht="12.75">
      <c r="A36">
        <f t="shared" si="0"/>
        <v>33</v>
      </c>
      <c r="D36" t="s">
        <v>30</v>
      </c>
      <c r="E36" s="23">
        <f t="shared" si="1"/>
        <v>34</v>
      </c>
      <c r="F36" s="1">
        <v>2865</v>
      </c>
      <c r="G36" s="3">
        <f>5730/F36</f>
        <v>2</v>
      </c>
      <c r="H36" s="1">
        <v>1592.0905</v>
      </c>
      <c r="I36" s="1">
        <f t="shared" si="9"/>
        <v>485.26918440000003</v>
      </c>
      <c r="J36" s="1">
        <f t="shared" si="2"/>
        <v>283155.5313000001</v>
      </c>
      <c r="K36" s="85">
        <f t="shared" si="3"/>
        <v>53.62794153409093</v>
      </c>
      <c r="L36" s="85">
        <f t="shared" si="4"/>
        <v>86.30580594024</v>
      </c>
      <c r="M36" s="14">
        <v>0</v>
      </c>
      <c r="N36" s="1">
        <f t="shared" si="5"/>
        <v>0</v>
      </c>
      <c r="O36" s="1">
        <f t="shared" si="6"/>
        <v>0</v>
      </c>
      <c r="P36" s="15">
        <v>480</v>
      </c>
      <c r="Q36" s="1">
        <f t="shared" si="10"/>
        <v>480</v>
      </c>
      <c r="R36" s="1">
        <f t="shared" si="7"/>
        <v>33964.59733333314</v>
      </c>
      <c r="S36" s="1">
        <f t="shared" si="8"/>
        <v>64532.73493333297</v>
      </c>
      <c r="V36" t="s">
        <v>65</v>
      </c>
      <c r="Y36" s="84">
        <v>500000</v>
      </c>
      <c r="Z36" s="1"/>
      <c r="AA36" s="1"/>
      <c r="AB36" s="3"/>
      <c r="AC36" s="1"/>
      <c r="AD36" s="1"/>
    </row>
    <row r="37" spans="1:30" ht="12.75">
      <c r="A37">
        <f t="shared" si="0"/>
        <v>34</v>
      </c>
      <c r="D37" s="1" t="s">
        <v>30</v>
      </c>
      <c r="E37" s="23">
        <f t="shared" si="1"/>
        <v>35</v>
      </c>
      <c r="F37" s="1"/>
      <c r="G37" s="3"/>
      <c r="H37" s="1">
        <v>2451.6576</v>
      </c>
      <c r="I37" s="1">
        <f t="shared" si="9"/>
        <v>747.26523648</v>
      </c>
      <c r="J37" s="1">
        <f t="shared" si="2"/>
        <v>285607.18890000007</v>
      </c>
      <c r="K37" s="85">
        <f t="shared" si="3"/>
        <v>54.09227062500001</v>
      </c>
      <c r="L37" s="85">
        <f t="shared" si="4"/>
        <v>87.05307117672001</v>
      </c>
      <c r="M37" s="14">
        <v>0</v>
      </c>
      <c r="N37" s="1">
        <f t="shared" si="5"/>
        <v>0</v>
      </c>
      <c r="O37" s="1">
        <f t="shared" si="6"/>
        <v>0</v>
      </c>
      <c r="P37" s="15">
        <v>480</v>
      </c>
      <c r="Q37" s="1">
        <f t="shared" si="10"/>
        <v>480</v>
      </c>
      <c r="R37" s="1">
        <f t="shared" si="7"/>
        <v>52302.028799999505</v>
      </c>
      <c r="S37" s="1">
        <f t="shared" si="8"/>
        <v>99373.85471999906</v>
      </c>
      <c r="V37" t="s">
        <v>66</v>
      </c>
      <c r="Y37" s="45">
        <v>25000000</v>
      </c>
      <c r="Z37" s="1"/>
      <c r="AA37" s="1"/>
      <c r="AB37" s="3"/>
      <c r="AC37" s="1"/>
      <c r="AD37" s="1"/>
    </row>
    <row r="38" spans="1:30" ht="12.75">
      <c r="A38">
        <f t="shared" si="0"/>
        <v>35</v>
      </c>
      <c r="D38" t="s">
        <v>30</v>
      </c>
      <c r="E38" s="23">
        <f t="shared" si="1"/>
        <v>36</v>
      </c>
      <c r="F38" s="1">
        <v>2865</v>
      </c>
      <c r="G38" s="3">
        <f>5730/F38</f>
        <v>2</v>
      </c>
      <c r="H38" s="1">
        <v>1076.2201</v>
      </c>
      <c r="I38" s="1">
        <f t="shared" si="9"/>
        <v>328.03188648</v>
      </c>
      <c r="J38" s="1">
        <f t="shared" si="2"/>
        <v>286683.40900000004</v>
      </c>
      <c r="K38" s="85">
        <f t="shared" si="3"/>
        <v>54.29610018939395</v>
      </c>
      <c r="L38" s="85">
        <f t="shared" si="4"/>
        <v>87.38110306320002</v>
      </c>
      <c r="M38" s="14">
        <v>0</v>
      </c>
      <c r="N38" s="1">
        <f t="shared" si="5"/>
        <v>0</v>
      </c>
      <c r="O38" s="1">
        <f t="shared" si="6"/>
        <v>0</v>
      </c>
      <c r="P38" s="15">
        <v>480</v>
      </c>
      <c r="Q38" s="1">
        <f t="shared" si="10"/>
        <v>480</v>
      </c>
      <c r="R38" s="1">
        <f t="shared" si="7"/>
        <v>22959.362133332837</v>
      </c>
      <c r="S38" s="1">
        <f t="shared" si="8"/>
        <v>43622.78805333239</v>
      </c>
      <c r="Y38" s="1"/>
      <c r="Z38" s="9">
        <f>SUM(Y35:Y37)</f>
        <v>203614006.7045454</v>
      </c>
      <c r="AA38" s="1"/>
      <c r="AB38" s="3"/>
      <c r="AC38" s="1"/>
      <c r="AD38" s="1"/>
    </row>
    <row r="39" spans="1:30" ht="12.75">
      <c r="A39">
        <f t="shared" si="0"/>
        <v>36</v>
      </c>
      <c r="D39" s="1" t="s">
        <v>30</v>
      </c>
      <c r="E39" s="23">
        <f t="shared" si="1"/>
        <v>37</v>
      </c>
      <c r="F39" s="1"/>
      <c r="G39" s="3"/>
      <c r="H39" s="1">
        <v>4602.4076</v>
      </c>
      <c r="I39" s="1">
        <f t="shared" si="9"/>
        <v>1402.81383648</v>
      </c>
      <c r="J39" s="1">
        <f t="shared" si="2"/>
        <v>291285.8166</v>
      </c>
      <c r="K39" s="85">
        <f t="shared" si="3"/>
        <v>55.16776829545455</v>
      </c>
      <c r="L39" s="85">
        <f t="shared" si="4"/>
        <v>88.78391689968001</v>
      </c>
      <c r="M39" s="14">
        <v>0</v>
      </c>
      <c r="N39" s="1">
        <f t="shared" si="5"/>
        <v>0</v>
      </c>
      <c r="O39" s="1">
        <f t="shared" si="6"/>
        <v>0</v>
      </c>
      <c r="P39" s="15">
        <v>480</v>
      </c>
      <c r="Q39" s="1">
        <f t="shared" si="10"/>
        <v>480</v>
      </c>
      <c r="R39" s="1">
        <f t="shared" si="7"/>
        <v>98184.69546666618</v>
      </c>
      <c r="S39" s="1">
        <f t="shared" si="8"/>
        <v>186550.92138666572</v>
      </c>
      <c r="Y39" s="80">
        <v>38806</v>
      </c>
      <c r="Z39" s="44">
        <f>+Z34+Z38</f>
        <v>1162751035.9110796</v>
      </c>
      <c r="AA39" s="86" t="s">
        <v>183</v>
      </c>
      <c r="AB39" s="3"/>
      <c r="AC39" s="1"/>
      <c r="AD39" s="1"/>
    </row>
    <row r="40" spans="1:30" ht="12.75">
      <c r="A40">
        <f t="shared" si="0"/>
        <v>37</v>
      </c>
      <c r="D40" t="s">
        <v>30</v>
      </c>
      <c r="E40" s="23">
        <f t="shared" si="1"/>
        <v>38</v>
      </c>
      <c r="F40" s="1">
        <v>2685</v>
      </c>
      <c r="G40" s="3">
        <f>5730/F40</f>
        <v>2.1340782122905027</v>
      </c>
      <c r="H40" s="1">
        <v>1160.607</v>
      </c>
      <c r="I40" s="1">
        <f t="shared" si="9"/>
        <v>353.75301360000003</v>
      </c>
      <c r="J40" s="1">
        <f t="shared" si="2"/>
        <v>292446.42360000004</v>
      </c>
      <c r="K40" s="85">
        <f t="shared" si="3"/>
        <v>55.387580227272736</v>
      </c>
      <c r="L40" s="85">
        <f t="shared" si="4"/>
        <v>89.13766991328</v>
      </c>
      <c r="M40" s="14">
        <v>0</v>
      </c>
      <c r="N40" s="1">
        <f t="shared" si="5"/>
        <v>0</v>
      </c>
      <c r="O40" s="1">
        <f t="shared" si="6"/>
        <v>0</v>
      </c>
      <c r="P40" s="15">
        <v>480</v>
      </c>
      <c r="Q40" s="1">
        <f t="shared" si="10"/>
        <v>480</v>
      </c>
      <c r="R40" s="1">
        <f t="shared" si="7"/>
        <v>24759.616000000387</v>
      </c>
      <c r="S40" s="1">
        <f t="shared" si="8"/>
        <v>47043.270400000736</v>
      </c>
      <c r="AA40" s="1"/>
      <c r="AB40" s="3"/>
      <c r="AC40" s="1"/>
      <c r="AD40" s="1"/>
    </row>
    <row r="41" spans="1:30" ht="12.75">
      <c r="A41">
        <f t="shared" si="0"/>
        <v>38</v>
      </c>
      <c r="D41" s="1" t="s">
        <v>30</v>
      </c>
      <c r="E41" s="23">
        <f t="shared" si="1"/>
        <v>39</v>
      </c>
      <c r="F41" s="1"/>
      <c r="G41" s="3"/>
      <c r="H41" s="1">
        <v>5664.0556</v>
      </c>
      <c r="I41" s="1">
        <f t="shared" si="9"/>
        <v>1726.40414688</v>
      </c>
      <c r="J41" s="1">
        <f t="shared" si="2"/>
        <v>298110.47920000006</v>
      </c>
      <c r="K41" s="85">
        <f t="shared" si="3"/>
        <v>56.46031803030304</v>
      </c>
      <c r="L41" s="85">
        <f t="shared" si="4"/>
        <v>90.86407406016001</v>
      </c>
      <c r="M41" s="14">
        <v>0</v>
      </c>
      <c r="N41" s="1">
        <f t="shared" si="5"/>
        <v>0</v>
      </c>
      <c r="O41" s="1">
        <f t="shared" si="6"/>
        <v>0</v>
      </c>
      <c r="P41" s="15">
        <v>480</v>
      </c>
      <c r="Q41" s="1">
        <f t="shared" si="10"/>
        <v>480</v>
      </c>
      <c r="R41" s="1">
        <f t="shared" si="7"/>
        <v>120833.18613333379</v>
      </c>
      <c r="S41" s="1">
        <f t="shared" si="8"/>
        <v>229583.05365333418</v>
      </c>
      <c r="AA41" s="1"/>
      <c r="AB41" s="3"/>
      <c r="AC41" s="1"/>
      <c r="AD41" s="1"/>
    </row>
    <row r="42" spans="1:30" ht="12.75">
      <c r="A42">
        <f t="shared" si="0"/>
        <v>39</v>
      </c>
      <c r="D42" t="s">
        <v>30</v>
      </c>
      <c r="E42" s="23">
        <f t="shared" si="1"/>
        <v>40</v>
      </c>
      <c r="F42" s="1">
        <v>11460</v>
      </c>
      <c r="G42" s="3">
        <f>5730/F42</f>
        <v>0.5</v>
      </c>
      <c r="H42" s="1">
        <v>5506.3909</v>
      </c>
      <c r="I42" s="1">
        <f t="shared" si="9"/>
        <v>1678.3479463200001</v>
      </c>
      <c r="J42" s="1">
        <f t="shared" si="2"/>
        <v>303616.87010000006</v>
      </c>
      <c r="K42" s="85">
        <f t="shared" si="3"/>
        <v>57.50319509469698</v>
      </c>
      <c r="L42" s="85">
        <f t="shared" si="4"/>
        <v>92.54242200648001</v>
      </c>
      <c r="M42" s="14">
        <v>0</v>
      </c>
      <c r="N42" s="1">
        <f t="shared" si="5"/>
        <v>0</v>
      </c>
      <c r="O42" s="1">
        <f t="shared" si="6"/>
        <v>0</v>
      </c>
      <c r="P42" s="15">
        <v>480</v>
      </c>
      <c r="Q42" s="1">
        <f t="shared" si="10"/>
        <v>480</v>
      </c>
      <c r="R42" s="1">
        <f t="shared" si="7"/>
        <v>117469.6725333333</v>
      </c>
      <c r="S42" s="1">
        <f t="shared" si="8"/>
        <v>223192.37781333327</v>
      </c>
      <c r="AA42" s="1"/>
      <c r="AB42" s="3"/>
      <c r="AC42" s="1"/>
      <c r="AD42" s="1"/>
    </row>
    <row r="43" spans="1:30" ht="12.75">
      <c r="A43">
        <f t="shared" si="0"/>
        <v>40</v>
      </c>
      <c r="D43" s="1" t="s">
        <v>30</v>
      </c>
      <c r="E43" s="23">
        <f t="shared" si="1"/>
        <v>41</v>
      </c>
      <c r="F43" s="1"/>
      <c r="G43" s="3"/>
      <c r="H43" s="1">
        <v>3034.8156</v>
      </c>
      <c r="I43" s="1">
        <f t="shared" si="9"/>
        <v>925.01179488</v>
      </c>
      <c r="J43" s="1">
        <f t="shared" si="2"/>
        <v>306651.68570000003</v>
      </c>
      <c r="K43" s="85">
        <f t="shared" si="3"/>
        <v>58.07797077651516</v>
      </c>
      <c r="L43" s="85">
        <f t="shared" si="4"/>
        <v>93.46743380136002</v>
      </c>
      <c r="M43" s="14">
        <v>0</v>
      </c>
      <c r="N43" s="1">
        <f t="shared" si="5"/>
        <v>0</v>
      </c>
      <c r="O43" s="1">
        <f t="shared" si="6"/>
        <v>0</v>
      </c>
      <c r="P43" s="15">
        <v>480</v>
      </c>
      <c r="Q43" s="1">
        <f t="shared" si="10"/>
        <v>480</v>
      </c>
      <c r="R43" s="1">
        <f t="shared" si="7"/>
        <v>64742.732799999416</v>
      </c>
      <c r="S43" s="1">
        <f t="shared" si="8"/>
        <v>123011.19231999888</v>
      </c>
      <c r="AA43" s="1"/>
      <c r="AB43" s="3"/>
      <c r="AC43" s="1"/>
      <c r="AD43" s="1"/>
    </row>
    <row r="44" spans="1:30" ht="12.75">
      <c r="A44">
        <f t="shared" si="0"/>
        <v>41</v>
      </c>
      <c r="D44" t="s">
        <v>30</v>
      </c>
      <c r="E44" s="23">
        <f t="shared" si="1"/>
        <v>42</v>
      </c>
      <c r="F44" s="1">
        <v>5730</v>
      </c>
      <c r="G44" s="3">
        <f>5730/F44</f>
        <v>1</v>
      </c>
      <c r="H44" s="1">
        <v>2410.7667</v>
      </c>
      <c r="I44" s="1">
        <f t="shared" si="9"/>
        <v>734.80169016</v>
      </c>
      <c r="J44" s="1">
        <f t="shared" si="2"/>
        <v>309062.4524</v>
      </c>
      <c r="K44" s="85">
        <f t="shared" si="3"/>
        <v>58.53455537878788</v>
      </c>
      <c r="L44" s="85">
        <f t="shared" si="4"/>
        <v>94.20223549152001</v>
      </c>
      <c r="M44" s="14">
        <v>0</v>
      </c>
      <c r="N44" s="1">
        <f t="shared" si="5"/>
        <v>0</v>
      </c>
      <c r="O44" s="1">
        <f t="shared" si="6"/>
        <v>0</v>
      </c>
      <c r="P44" s="15">
        <v>480</v>
      </c>
      <c r="Q44" s="1">
        <f t="shared" si="10"/>
        <v>480</v>
      </c>
      <c r="R44" s="1">
        <f t="shared" si="7"/>
        <v>51429.68959999954</v>
      </c>
      <c r="S44" s="1">
        <f t="shared" si="8"/>
        <v>97716.41023999912</v>
      </c>
      <c r="AA44" s="1"/>
      <c r="AB44" s="3"/>
      <c r="AC44" s="1"/>
      <c r="AD44" s="1"/>
    </row>
    <row r="45" spans="1:30" ht="12.75">
      <c r="A45">
        <f t="shared" si="0"/>
        <v>42</v>
      </c>
      <c r="D45" s="1" t="s">
        <v>30</v>
      </c>
      <c r="E45" s="23">
        <f t="shared" si="1"/>
        <v>43</v>
      </c>
      <c r="F45" s="1"/>
      <c r="G45" s="3"/>
      <c r="H45" s="1">
        <v>7296.981</v>
      </c>
      <c r="I45" s="1">
        <f t="shared" si="9"/>
        <v>2224.1198088</v>
      </c>
      <c r="J45" s="1">
        <f t="shared" si="2"/>
        <v>316359.4334</v>
      </c>
      <c r="K45" s="85">
        <f t="shared" si="3"/>
        <v>59.9165593560606</v>
      </c>
      <c r="L45" s="85">
        <f t="shared" si="4"/>
        <v>96.42635530032001</v>
      </c>
      <c r="M45" s="14">
        <v>0</v>
      </c>
      <c r="N45" s="1">
        <f t="shared" si="5"/>
        <v>0</v>
      </c>
      <c r="O45" s="1">
        <f t="shared" si="6"/>
        <v>0</v>
      </c>
      <c r="P45" s="15">
        <v>480</v>
      </c>
      <c r="Q45" s="1">
        <f t="shared" si="10"/>
        <v>480</v>
      </c>
      <c r="R45" s="1">
        <f t="shared" si="7"/>
        <v>155668.92799999937</v>
      </c>
      <c r="S45" s="1">
        <f t="shared" si="8"/>
        <v>295770.9631999988</v>
      </c>
      <c r="V45" s="8" t="s">
        <v>63</v>
      </c>
      <c r="W45" s="2"/>
      <c r="Y45" s="1"/>
      <c r="Z45" s="7">
        <f>+H229*6000000</f>
        <v>1187426711.363636</v>
      </c>
      <c r="AA45" s="1"/>
      <c r="AB45" s="3"/>
      <c r="AC45" s="1"/>
      <c r="AD45" s="1"/>
    </row>
    <row r="46" spans="1:30" ht="12.75">
      <c r="A46">
        <f t="shared" si="0"/>
        <v>43</v>
      </c>
      <c r="D46" t="s">
        <v>30</v>
      </c>
      <c r="E46" s="23">
        <f t="shared" si="1"/>
        <v>44</v>
      </c>
      <c r="F46" s="1">
        <v>5730</v>
      </c>
      <c r="G46" s="3">
        <f>5730/F46</f>
        <v>1</v>
      </c>
      <c r="H46" s="1">
        <v>4677.1866</v>
      </c>
      <c r="I46" s="1">
        <f t="shared" si="9"/>
        <v>1425.6064756800001</v>
      </c>
      <c r="J46" s="1">
        <f t="shared" si="2"/>
        <v>321036.62</v>
      </c>
      <c r="K46" s="85">
        <f t="shared" si="3"/>
        <v>60.80239015151515</v>
      </c>
      <c r="L46" s="85">
        <f t="shared" si="4"/>
        <v>97.85196177600001</v>
      </c>
      <c r="M46" s="14">
        <v>0</v>
      </c>
      <c r="N46" s="1">
        <f t="shared" si="5"/>
        <v>0</v>
      </c>
      <c r="O46" s="1">
        <f t="shared" si="6"/>
        <v>0</v>
      </c>
      <c r="P46" s="15">
        <v>480</v>
      </c>
      <c r="Q46" s="1">
        <f t="shared" si="10"/>
        <v>480</v>
      </c>
      <c r="R46" s="1">
        <f t="shared" si="7"/>
        <v>99779.98080000032</v>
      </c>
      <c r="S46" s="1">
        <f t="shared" si="8"/>
        <v>189581.9635200006</v>
      </c>
      <c r="W46" s="2"/>
      <c r="Y46" s="1"/>
      <c r="Z46" s="1"/>
      <c r="AA46" s="1"/>
      <c r="AB46" s="3"/>
      <c r="AC46" s="1"/>
      <c r="AD46" s="1"/>
    </row>
    <row r="47" spans="1:30" ht="12.75">
      <c r="A47">
        <f t="shared" si="0"/>
        <v>44</v>
      </c>
      <c r="D47" s="1" t="s">
        <v>30</v>
      </c>
      <c r="E47" s="23">
        <f t="shared" si="1"/>
        <v>45</v>
      </c>
      <c r="F47" s="1"/>
      <c r="G47" s="3"/>
      <c r="H47" s="1">
        <v>19947.4486</v>
      </c>
      <c r="I47" s="1">
        <f t="shared" si="9"/>
        <v>6079.982333280001</v>
      </c>
      <c r="J47" s="1">
        <f t="shared" si="2"/>
        <v>340984.0686</v>
      </c>
      <c r="K47" s="85">
        <f t="shared" si="3"/>
        <v>64.58031602272727</v>
      </c>
      <c r="L47" s="85">
        <f t="shared" si="4"/>
        <v>103.93194410928001</v>
      </c>
      <c r="M47" s="14">
        <v>0</v>
      </c>
      <c r="N47" s="1">
        <f t="shared" si="5"/>
        <v>0</v>
      </c>
      <c r="O47" s="1">
        <f t="shared" si="6"/>
        <v>0</v>
      </c>
      <c r="P47" s="15">
        <v>480</v>
      </c>
      <c r="Q47" s="1">
        <f t="shared" si="10"/>
        <v>480</v>
      </c>
      <c r="R47" s="1">
        <f t="shared" si="7"/>
        <v>425545.5701333334</v>
      </c>
      <c r="S47" s="1">
        <f t="shared" si="8"/>
        <v>808536.5832533333</v>
      </c>
      <c r="W47" s="2"/>
      <c r="Y47" s="45"/>
      <c r="Z47" s="1"/>
      <c r="AA47" s="1"/>
      <c r="AB47" s="3"/>
      <c r="AC47" s="1"/>
      <c r="AD47" s="1"/>
    </row>
    <row r="48" spans="1:30" ht="12.75">
      <c r="A48">
        <f t="shared" si="0"/>
        <v>45</v>
      </c>
      <c r="C48" s="1"/>
      <c r="D48" s="1" t="s">
        <v>30</v>
      </c>
      <c r="E48" s="23">
        <f t="shared" si="1"/>
        <v>46</v>
      </c>
      <c r="F48" s="1">
        <v>5730</v>
      </c>
      <c r="G48" s="3">
        <f>5730/F48</f>
        <v>1</v>
      </c>
      <c r="H48" s="1">
        <v>3062.1633</v>
      </c>
      <c r="I48" s="1">
        <f t="shared" si="9"/>
        <v>933.34737384</v>
      </c>
      <c r="J48" s="1">
        <f>+J47+H48</f>
        <v>344046.2319</v>
      </c>
      <c r="K48" s="85">
        <f t="shared" si="3"/>
        <v>65.16027119318183</v>
      </c>
      <c r="L48" s="85">
        <f t="shared" si="4"/>
        <v>104.86529148312</v>
      </c>
      <c r="M48" s="14">
        <v>0</v>
      </c>
      <c r="N48" s="1">
        <f>+(M47+M48)/2</f>
        <v>0</v>
      </c>
      <c r="O48" s="1">
        <f>1.2*N48*(J48-J47)/27</f>
        <v>0</v>
      </c>
      <c r="P48" s="15">
        <v>480</v>
      </c>
      <c r="Q48" s="1">
        <f>+(P47+P48)/2</f>
        <v>480</v>
      </c>
      <c r="R48" s="1">
        <f>1.2*Q48*(J48-J47)/27</f>
        <v>65326.15040000031</v>
      </c>
      <c r="S48" s="1">
        <f>1.9*(R48-O48)</f>
        <v>124119.68576000059</v>
      </c>
      <c r="W48" s="2"/>
      <c r="Y48" s="1"/>
      <c r="Z48" s="1"/>
      <c r="AA48" s="1"/>
      <c r="AB48" s="3"/>
      <c r="AC48" s="1"/>
      <c r="AD48" s="1"/>
    </row>
    <row r="49" spans="1:30" ht="12.75">
      <c r="A49">
        <f t="shared" si="0"/>
        <v>46</v>
      </c>
      <c r="B49" s="1"/>
      <c r="C49" s="1"/>
      <c r="D49" s="1" t="s">
        <v>30</v>
      </c>
      <c r="E49" s="23">
        <f t="shared" si="1"/>
        <v>47</v>
      </c>
      <c r="F49" s="1"/>
      <c r="G49" s="3"/>
      <c r="H49" s="1">
        <v>5051.4573</v>
      </c>
      <c r="I49" s="1">
        <f t="shared" si="9"/>
        <v>1539.68418504</v>
      </c>
      <c r="J49" s="1">
        <f t="shared" si="2"/>
        <v>349097.6892</v>
      </c>
      <c r="K49" s="85">
        <f t="shared" si="3"/>
        <v>66.1169865909091</v>
      </c>
      <c r="L49" s="85">
        <f t="shared" si="4"/>
        <v>106.40497566816</v>
      </c>
      <c r="M49" s="14">
        <v>0</v>
      </c>
      <c r="N49" s="1">
        <f t="shared" si="5"/>
        <v>0</v>
      </c>
      <c r="O49" s="1">
        <f t="shared" si="6"/>
        <v>0</v>
      </c>
      <c r="P49" s="15">
        <v>480</v>
      </c>
      <c r="Q49" s="1">
        <f t="shared" si="10"/>
        <v>480</v>
      </c>
      <c r="R49" s="1">
        <f t="shared" si="7"/>
        <v>107764.4224000002</v>
      </c>
      <c r="S49" s="1">
        <f t="shared" si="8"/>
        <v>204752.40256000037</v>
      </c>
      <c r="W49" s="2"/>
      <c r="Y49" s="1"/>
      <c r="Z49" s="1"/>
      <c r="AA49" s="1"/>
      <c r="AB49" s="3"/>
      <c r="AC49" s="1"/>
      <c r="AD49" s="1"/>
    </row>
    <row r="50" spans="1:30" ht="12.75">
      <c r="A50">
        <f t="shared" si="0"/>
        <v>47</v>
      </c>
      <c r="D50" s="1" t="s">
        <v>30</v>
      </c>
      <c r="E50" s="23">
        <f t="shared" si="1"/>
        <v>48</v>
      </c>
      <c r="F50" s="1">
        <v>5730</v>
      </c>
      <c r="G50" s="3">
        <f>5730/F50</f>
        <v>1</v>
      </c>
      <c r="H50" s="1">
        <v>1440.052</v>
      </c>
      <c r="I50" s="1">
        <f t="shared" si="9"/>
        <v>438.9278496</v>
      </c>
      <c r="J50" s="1">
        <f t="shared" si="2"/>
        <v>350537.74120000005</v>
      </c>
      <c r="K50" s="85">
        <f t="shared" si="3"/>
        <v>66.38972371212122</v>
      </c>
      <c r="L50" s="85">
        <f t="shared" si="4"/>
        <v>106.84390351776001</v>
      </c>
      <c r="M50" s="14">
        <v>0</v>
      </c>
      <c r="N50" s="1">
        <f t="shared" si="5"/>
        <v>0</v>
      </c>
      <c r="O50" s="1">
        <f t="shared" si="6"/>
        <v>0</v>
      </c>
      <c r="P50" s="15">
        <v>480</v>
      </c>
      <c r="Q50" s="1">
        <f t="shared" si="10"/>
        <v>480</v>
      </c>
      <c r="R50" s="1">
        <f t="shared" si="7"/>
        <v>30721.10933333387</v>
      </c>
      <c r="S50" s="1">
        <f t="shared" si="8"/>
        <v>58370.10773333435</v>
      </c>
      <c r="W50" s="2"/>
      <c r="Y50" s="1"/>
      <c r="Z50" s="1"/>
      <c r="AA50" s="1"/>
      <c r="AB50" s="3"/>
      <c r="AC50" s="1"/>
      <c r="AD50" s="1"/>
    </row>
    <row r="51" spans="1:30" ht="12.75">
      <c r="A51">
        <f t="shared" si="0"/>
        <v>48</v>
      </c>
      <c r="D51" s="1" t="s">
        <v>30</v>
      </c>
      <c r="E51" s="23">
        <f t="shared" si="1"/>
        <v>49</v>
      </c>
      <c r="F51" s="1"/>
      <c r="G51" s="3"/>
      <c r="H51" s="1">
        <v>21841.6693</v>
      </c>
      <c r="I51" s="1">
        <f t="shared" si="9"/>
        <v>6657.340802640001</v>
      </c>
      <c r="J51" s="1">
        <f t="shared" si="2"/>
        <v>372379.41050000006</v>
      </c>
      <c r="K51" s="85">
        <f t="shared" si="3"/>
        <v>70.52640350378789</v>
      </c>
      <c r="L51" s="85">
        <f t="shared" si="4"/>
        <v>113.50124432040002</v>
      </c>
      <c r="M51" s="14">
        <v>0</v>
      </c>
      <c r="N51" s="1">
        <f t="shared" si="5"/>
        <v>0</v>
      </c>
      <c r="O51" s="1">
        <f t="shared" si="6"/>
        <v>0</v>
      </c>
      <c r="P51" s="15">
        <v>480</v>
      </c>
      <c r="Q51" s="1">
        <f t="shared" si="10"/>
        <v>480</v>
      </c>
      <c r="R51" s="1">
        <f t="shared" si="7"/>
        <v>465955.6117333335</v>
      </c>
      <c r="S51" s="1">
        <f t="shared" si="8"/>
        <v>885315.6622933336</v>
      </c>
      <c r="W51" s="2"/>
      <c r="Y51" s="1"/>
      <c r="Z51" s="1"/>
      <c r="AA51" s="1"/>
      <c r="AB51" s="3"/>
      <c r="AC51" s="1"/>
      <c r="AD51" s="1"/>
    </row>
    <row r="52" spans="1:30" ht="12.75">
      <c r="A52">
        <f t="shared" si="0"/>
        <v>49</v>
      </c>
      <c r="D52" s="1" t="s">
        <v>30</v>
      </c>
      <c r="E52" s="23">
        <f t="shared" si="1"/>
        <v>50</v>
      </c>
      <c r="F52" s="1">
        <v>5730</v>
      </c>
      <c r="G52" s="3">
        <f>5730/F52</f>
        <v>1</v>
      </c>
      <c r="H52" s="1">
        <v>4763.7191</v>
      </c>
      <c r="I52" s="1">
        <f t="shared" si="9"/>
        <v>1451.98158168</v>
      </c>
      <c r="J52" s="1">
        <f t="shared" si="2"/>
        <v>377143.12960000004</v>
      </c>
      <c r="K52" s="85">
        <f t="shared" si="3"/>
        <v>71.42862303030304</v>
      </c>
      <c r="L52" s="85">
        <f t="shared" si="4"/>
        <v>114.95322590208002</v>
      </c>
      <c r="M52" s="14">
        <v>0</v>
      </c>
      <c r="N52" s="1">
        <f t="shared" si="5"/>
        <v>0</v>
      </c>
      <c r="O52" s="1">
        <f t="shared" si="6"/>
        <v>0</v>
      </c>
      <c r="P52" s="15">
        <v>480</v>
      </c>
      <c r="Q52" s="1">
        <f t="shared" si="10"/>
        <v>480</v>
      </c>
      <c r="R52" s="1">
        <f t="shared" si="7"/>
        <v>101626.0074666664</v>
      </c>
      <c r="S52" s="1">
        <f t="shared" si="8"/>
        <v>193089.41418666614</v>
      </c>
      <c r="W52" s="2"/>
      <c r="Y52" s="1"/>
      <c r="Z52" s="1"/>
      <c r="AA52" s="1"/>
      <c r="AB52" s="3"/>
      <c r="AC52" s="1"/>
      <c r="AD52" s="1"/>
    </row>
    <row r="53" spans="1:30" ht="12.75">
      <c r="A53">
        <f t="shared" si="0"/>
        <v>50</v>
      </c>
      <c r="D53" s="1" t="s">
        <v>30</v>
      </c>
      <c r="E53" s="23">
        <f t="shared" si="1"/>
        <v>51</v>
      </c>
      <c r="F53" s="1"/>
      <c r="G53" s="3"/>
      <c r="H53" s="1">
        <v>13074.3841</v>
      </c>
      <c r="I53" s="1">
        <f t="shared" si="9"/>
        <v>3985.07227368</v>
      </c>
      <c r="J53" s="1">
        <f t="shared" si="2"/>
        <v>390217.51370000007</v>
      </c>
      <c r="K53" s="85">
        <f t="shared" si="3"/>
        <v>73.90483214015153</v>
      </c>
      <c r="L53" s="85">
        <f t="shared" si="4"/>
        <v>118.93829817576002</v>
      </c>
      <c r="M53" s="14">
        <v>0</v>
      </c>
      <c r="N53" s="1">
        <f t="shared" si="5"/>
        <v>0</v>
      </c>
      <c r="O53" s="1">
        <f t="shared" si="6"/>
        <v>0</v>
      </c>
      <c r="P53" s="15">
        <v>480</v>
      </c>
      <c r="Q53" s="1">
        <f t="shared" si="10"/>
        <v>480</v>
      </c>
      <c r="R53" s="1">
        <f t="shared" si="7"/>
        <v>278920.19413333386</v>
      </c>
      <c r="S53" s="1">
        <f t="shared" si="8"/>
        <v>529948.3688533343</v>
      </c>
      <c r="W53" s="2"/>
      <c r="Y53" s="1"/>
      <c r="Z53" s="1"/>
      <c r="AA53" s="1"/>
      <c r="AB53" s="3"/>
      <c r="AC53" s="1"/>
      <c r="AD53" s="1"/>
    </row>
    <row r="54" spans="1:30" ht="12.75">
      <c r="A54">
        <f t="shared" si="0"/>
        <v>51</v>
      </c>
      <c r="D54" s="1" t="s">
        <v>30</v>
      </c>
      <c r="E54" s="23">
        <f t="shared" si="1"/>
        <v>52</v>
      </c>
      <c r="F54" s="1">
        <v>1910</v>
      </c>
      <c r="G54" s="3">
        <f>5730/F54</f>
        <v>3</v>
      </c>
      <c r="H54" s="1">
        <v>2233.3186</v>
      </c>
      <c r="I54" s="1">
        <f t="shared" si="9"/>
        <v>680.7155092800001</v>
      </c>
      <c r="J54" s="1">
        <f t="shared" si="2"/>
        <v>392450.83230000007</v>
      </c>
      <c r="K54" s="85">
        <f t="shared" si="3"/>
        <v>74.32780914772728</v>
      </c>
      <c r="L54" s="85">
        <f t="shared" si="4"/>
        <v>119.61901368504003</v>
      </c>
      <c r="M54" s="14">
        <v>0</v>
      </c>
      <c r="N54" s="1">
        <f t="shared" si="5"/>
        <v>0</v>
      </c>
      <c r="O54" s="1">
        <f t="shared" si="6"/>
        <v>0</v>
      </c>
      <c r="P54" s="15">
        <v>480</v>
      </c>
      <c r="Q54" s="1">
        <f t="shared" si="10"/>
        <v>480</v>
      </c>
      <c r="R54" s="1">
        <f t="shared" si="7"/>
        <v>47644.1301333333</v>
      </c>
      <c r="S54" s="1">
        <f t="shared" si="8"/>
        <v>90523.84725333327</v>
      </c>
      <c r="W54" s="2"/>
      <c r="Y54" s="1"/>
      <c r="Z54" s="1"/>
      <c r="AA54" s="1"/>
      <c r="AB54" s="3"/>
      <c r="AC54" s="1"/>
      <c r="AD54" s="1"/>
    </row>
    <row r="55" spans="1:30" ht="12.75">
      <c r="A55">
        <f t="shared" si="0"/>
        <v>52</v>
      </c>
      <c r="D55" s="1" t="s">
        <v>30</v>
      </c>
      <c r="E55" s="23">
        <f t="shared" si="1"/>
        <v>53</v>
      </c>
      <c r="F55" s="1"/>
      <c r="G55" s="3"/>
      <c r="H55" s="1">
        <v>1002.5479</v>
      </c>
      <c r="I55" s="1">
        <f t="shared" si="9"/>
        <v>305.57659992000004</v>
      </c>
      <c r="J55" s="1">
        <f t="shared" si="2"/>
        <v>393453.3802000001</v>
      </c>
      <c r="K55" s="85">
        <f t="shared" si="3"/>
        <v>74.5176856439394</v>
      </c>
      <c r="L55" s="85">
        <f t="shared" si="4"/>
        <v>119.92459028496003</v>
      </c>
      <c r="M55" s="14">
        <v>0</v>
      </c>
      <c r="N55" s="1">
        <f t="shared" si="5"/>
        <v>0</v>
      </c>
      <c r="O55" s="1">
        <f t="shared" si="6"/>
        <v>0</v>
      </c>
      <c r="P55" s="15">
        <v>480</v>
      </c>
      <c r="Q55" s="1">
        <f t="shared" si="10"/>
        <v>480</v>
      </c>
      <c r="R55" s="1">
        <f t="shared" si="7"/>
        <v>21387.68853333344</v>
      </c>
      <c r="S55" s="1">
        <f t="shared" si="8"/>
        <v>40636.60821333353</v>
      </c>
      <c r="W55" s="2"/>
      <c r="Y55" s="1"/>
      <c r="Z55" s="1"/>
      <c r="AA55" s="1"/>
      <c r="AB55" s="3"/>
      <c r="AC55" s="1"/>
      <c r="AD55" s="1"/>
    </row>
    <row r="56" spans="1:28" ht="12.75">
      <c r="A56">
        <f t="shared" si="0"/>
        <v>53</v>
      </c>
      <c r="D56" s="1" t="s">
        <v>30</v>
      </c>
      <c r="E56" s="23">
        <f t="shared" si="1"/>
        <v>54</v>
      </c>
      <c r="F56" s="1">
        <v>1910</v>
      </c>
      <c r="G56" s="3">
        <f>5730/F56</f>
        <v>3</v>
      </c>
      <c r="H56" s="1">
        <v>1159.752</v>
      </c>
      <c r="I56" s="1">
        <f t="shared" si="9"/>
        <v>353.49240960000003</v>
      </c>
      <c r="J56" s="1">
        <f t="shared" si="2"/>
        <v>394613.13220000005</v>
      </c>
      <c r="K56" s="85">
        <f t="shared" si="3"/>
        <v>74.7373356439394</v>
      </c>
      <c r="L56" s="85">
        <f t="shared" si="4"/>
        <v>120.27808269456003</v>
      </c>
      <c r="M56" s="14">
        <v>0</v>
      </c>
      <c r="N56" s="1">
        <f t="shared" si="5"/>
        <v>0</v>
      </c>
      <c r="O56" s="1">
        <f t="shared" si="6"/>
        <v>0</v>
      </c>
      <c r="P56" s="15">
        <v>480</v>
      </c>
      <c r="Q56" s="1">
        <f t="shared" si="10"/>
        <v>480</v>
      </c>
      <c r="R56" s="1">
        <f t="shared" si="7"/>
        <v>24741.37599999954</v>
      </c>
      <c r="S56" s="1">
        <f t="shared" si="8"/>
        <v>47008.614399999125</v>
      </c>
      <c r="W56" s="2"/>
      <c r="Y56" s="1"/>
      <c r="Z56" s="1"/>
      <c r="AA56" s="1"/>
      <c r="AB56" s="3"/>
    </row>
    <row r="57" spans="1:30" ht="12.75">
      <c r="A57">
        <f t="shared" si="0"/>
        <v>54</v>
      </c>
      <c r="D57" s="1" t="s">
        <v>30</v>
      </c>
      <c r="E57" s="23">
        <f t="shared" si="1"/>
        <v>55</v>
      </c>
      <c r="F57" s="1"/>
      <c r="G57" s="3"/>
      <c r="H57" s="1">
        <v>3807.7734</v>
      </c>
      <c r="I57" s="1">
        <f t="shared" si="9"/>
        <v>1160.60933232</v>
      </c>
      <c r="J57" s="1">
        <f t="shared" si="2"/>
        <v>398420.90560000006</v>
      </c>
      <c r="K57" s="85">
        <f t="shared" si="3"/>
        <v>75.45850484848486</v>
      </c>
      <c r="L57" s="85">
        <f t="shared" si="4"/>
        <v>121.43869202688003</v>
      </c>
      <c r="M57" s="14">
        <v>0</v>
      </c>
      <c r="N57" s="1">
        <f t="shared" si="5"/>
        <v>0</v>
      </c>
      <c r="O57" s="1">
        <f t="shared" si="6"/>
        <v>0</v>
      </c>
      <c r="P57" s="15">
        <v>480</v>
      </c>
      <c r="Q57" s="1">
        <f t="shared" si="10"/>
        <v>480</v>
      </c>
      <c r="R57" s="1">
        <f t="shared" si="7"/>
        <v>81232.49920000012</v>
      </c>
      <c r="S57" s="1">
        <f t="shared" si="8"/>
        <v>154341.7484800002</v>
      </c>
      <c r="V57" s="1"/>
      <c r="W57" s="2"/>
      <c r="Y57" s="1"/>
      <c r="Z57" s="1"/>
      <c r="AA57" s="1"/>
      <c r="AB57" s="3"/>
      <c r="AC57" s="1"/>
      <c r="AD57" s="1"/>
    </row>
    <row r="58" spans="1:30" ht="12.75">
      <c r="A58">
        <f t="shared" si="0"/>
        <v>55</v>
      </c>
      <c r="D58" s="1" t="s">
        <v>30</v>
      </c>
      <c r="E58" s="23">
        <f t="shared" si="1"/>
        <v>56</v>
      </c>
      <c r="F58" s="1">
        <v>2865</v>
      </c>
      <c r="G58" s="3">
        <f>5730/F58</f>
        <v>2</v>
      </c>
      <c r="H58" s="1">
        <v>1654.2029</v>
      </c>
      <c r="I58" s="1">
        <f t="shared" si="9"/>
        <v>504.20104392</v>
      </c>
      <c r="J58" s="1">
        <f t="shared" si="2"/>
        <v>400075.10850000003</v>
      </c>
      <c r="K58" s="85">
        <f t="shared" si="3"/>
        <v>75.77180085227273</v>
      </c>
      <c r="L58" s="85">
        <f t="shared" si="4"/>
        <v>121.94289307080004</v>
      </c>
      <c r="M58" s="14">
        <v>136</v>
      </c>
      <c r="N58" s="1">
        <f t="shared" si="5"/>
        <v>68</v>
      </c>
      <c r="O58" s="1">
        <f t="shared" si="6"/>
        <v>4999.368764444367</v>
      </c>
      <c r="P58" s="15">
        <v>163</v>
      </c>
      <c r="Q58" s="1">
        <f t="shared" si="10"/>
        <v>321.5</v>
      </c>
      <c r="R58" s="1">
        <f t="shared" si="7"/>
        <v>23636.721437777418</v>
      </c>
      <c r="S58" s="1">
        <f t="shared" si="8"/>
        <v>35410.970079332794</v>
      </c>
      <c r="W58" s="2"/>
      <c r="Y58" s="1"/>
      <c r="Z58" s="1"/>
      <c r="AA58" s="1"/>
      <c r="AB58" s="3"/>
      <c r="AC58" s="1"/>
      <c r="AD58" s="1"/>
    </row>
    <row r="59" spans="1:30" ht="12.75">
      <c r="A59">
        <f t="shared" si="0"/>
        <v>56</v>
      </c>
      <c r="D59" s="1" t="s">
        <v>30</v>
      </c>
      <c r="E59" s="23">
        <f t="shared" si="1"/>
        <v>57</v>
      </c>
      <c r="G59" s="3"/>
      <c r="H59" s="1">
        <v>415.7119</v>
      </c>
      <c r="I59" s="1">
        <f t="shared" si="9"/>
        <v>126.70898712000002</v>
      </c>
      <c r="J59" s="1">
        <f t="shared" si="2"/>
        <v>400490.8204</v>
      </c>
      <c r="K59" s="85">
        <f t="shared" si="3"/>
        <v>75.85053416666668</v>
      </c>
      <c r="L59" s="85">
        <f t="shared" si="4"/>
        <v>122.06960205792004</v>
      </c>
      <c r="M59" s="14">
        <v>136</v>
      </c>
      <c r="N59" s="1">
        <f t="shared" si="5"/>
        <v>136</v>
      </c>
      <c r="O59" s="1">
        <f t="shared" si="6"/>
        <v>2512.7474844444127</v>
      </c>
      <c r="P59" s="15">
        <v>163</v>
      </c>
      <c r="Q59" s="1">
        <f t="shared" si="10"/>
        <v>163</v>
      </c>
      <c r="R59" s="1">
        <f t="shared" si="7"/>
        <v>3011.601764444407</v>
      </c>
      <c r="S59" s="1">
        <f t="shared" si="8"/>
        <v>947.8231319999887</v>
      </c>
      <c r="W59" s="2"/>
      <c r="Y59" s="1"/>
      <c r="Z59" s="1"/>
      <c r="AA59" s="1"/>
      <c r="AB59" s="3"/>
      <c r="AC59" s="1"/>
      <c r="AD59" s="1"/>
    </row>
    <row r="60" spans="1:30" ht="12.75">
      <c r="A60">
        <f t="shared" si="0"/>
        <v>57</v>
      </c>
      <c r="D60" s="1" t="s">
        <v>30</v>
      </c>
      <c r="E60" s="23">
        <f t="shared" si="1"/>
        <v>58</v>
      </c>
      <c r="F60" s="1">
        <v>5730</v>
      </c>
      <c r="G60" s="3">
        <f>5730/F60</f>
        <v>1</v>
      </c>
      <c r="H60" s="1">
        <v>2663.3911</v>
      </c>
      <c r="I60" s="1">
        <f t="shared" si="9"/>
        <v>811.80160728</v>
      </c>
      <c r="J60" s="1">
        <f t="shared" si="2"/>
        <v>403154.21150000003</v>
      </c>
      <c r="K60" s="85">
        <f t="shared" si="3"/>
        <v>76.35496429924243</v>
      </c>
      <c r="L60" s="85">
        <f t="shared" si="4"/>
        <v>122.88140366520004</v>
      </c>
      <c r="M60" s="14">
        <v>0</v>
      </c>
      <c r="N60" s="1">
        <f t="shared" si="5"/>
        <v>68</v>
      </c>
      <c r="O60" s="1">
        <f t="shared" si="6"/>
        <v>8049.359768888912</v>
      </c>
      <c r="P60" s="15">
        <v>315</v>
      </c>
      <c r="Q60" s="1">
        <f t="shared" si="10"/>
        <v>239</v>
      </c>
      <c r="R60" s="1">
        <f t="shared" si="7"/>
        <v>28291.132128888974</v>
      </c>
      <c r="S60" s="1">
        <f t="shared" si="8"/>
        <v>38459.36748400011</v>
      </c>
      <c r="W60" s="2"/>
      <c r="Y60" s="1"/>
      <c r="Z60" s="1"/>
      <c r="AA60" s="1"/>
      <c r="AB60" s="3"/>
      <c r="AC60" s="1"/>
      <c r="AD60" s="1"/>
    </row>
    <row r="61" spans="1:30" ht="12.75">
      <c r="A61">
        <f t="shared" si="0"/>
        <v>58</v>
      </c>
      <c r="B61" s="1"/>
      <c r="C61" s="1"/>
      <c r="D61" s="1" t="s">
        <v>30</v>
      </c>
      <c r="E61" s="23">
        <f t="shared" si="1"/>
        <v>59</v>
      </c>
      <c r="F61" s="1"/>
      <c r="G61" s="3"/>
      <c r="H61" s="1">
        <v>3926.9315</v>
      </c>
      <c r="I61" s="1">
        <f t="shared" si="9"/>
        <v>1196.9287212000002</v>
      </c>
      <c r="J61" s="1">
        <f t="shared" si="2"/>
        <v>407081.14300000004</v>
      </c>
      <c r="K61" s="85">
        <f t="shared" si="3"/>
        <v>77.09870132575759</v>
      </c>
      <c r="L61" s="85">
        <f t="shared" si="4"/>
        <v>124.07833238640004</v>
      </c>
      <c r="M61" s="14">
        <v>0</v>
      </c>
      <c r="N61" s="1">
        <f t="shared" si="5"/>
        <v>0</v>
      </c>
      <c r="O61" s="1">
        <f t="shared" si="6"/>
        <v>0</v>
      </c>
      <c r="P61" s="15">
        <v>315</v>
      </c>
      <c r="Q61" s="1">
        <f t="shared" si="10"/>
        <v>315</v>
      </c>
      <c r="R61" s="1">
        <f t="shared" si="7"/>
        <v>54977.04100000008</v>
      </c>
      <c r="S61" s="1">
        <f t="shared" si="8"/>
        <v>104456.37790000014</v>
      </c>
      <c r="W61" s="2"/>
      <c r="Y61" s="1"/>
      <c r="Z61" s="1"/>
      <c r="AA61" s="1"/>
      <c r="AB61" s="3"/>
      <c r="AC61" s="1"/>
      <c r="AD61" s="1"/>
    </row>
    <row r="62" spans="1:30" ht="12.75">
      <c r="A62">
        <f t="shared" si="0"/>
        <v>59</v>
      </c>
      <c r="D62" s="1" t="s">
        <v>30</v>
      </c>
      <c r="E62" s="23">
        <f t="shared" si="1"/>
        <v>60</v>
      </c>
      <c r="F62" s="1">
        <v>2865</v>
      </c>
      <c r="G62" s="3">
        <f>5730/F62</f>
        <v>2</v>
      </c>
      <c r="H62" s="1">
        <v>2038.524</v>
      </c>
      <c r="I62" s="1">
        <f t="shared" si="9"/>
        <v>621.3421152</v>
      </c>
      <c r="J62" s="1">
        <f t="shared" si="2"/>
        <v>409119.667</v>
      </c>
      <c r="K62" s="85">
        <f t="shared" si="3"/>
        <v>77.48478541666667</v>
      </c>
      <c r="L62" s="85">
        <f t="shared" si="4"/>
        <v>124.69967450160003</v>
      </c>
      <c r="M62" s="14">
        <v>50</v>
      </c>
      <c r="N62" s="1">
        <f t="shared" si="5"/>
        <v>25</v>
      </c>
      <c r="O62" s="1">
        <f t="shared" si="6"/>
        <v>2265.02666666664</v>
      </c>
      <c r="P62" s="15">
        <v>60</v>
      </c>
      <c r="Q62" s="1">
        <f t="shared" si="10"/>
        <v>187.5</v>
      </c>
      <c r="R62" s="1">
        <f t="shared" si="7"/>
        <v>16987.699999999797</v>
      </c>
      <c r="S62" s="1">
        <f t="shared" si="8"/>
        <v>27973.079333332997</v>
      </c>
      <c r="W62" s="2"/>
      <c r="Y62" s="1"/>
      <c r="Z62" s="1"/>
      <c r="AA62" s="1"/>
      <c r="AB62" s="3"/>
      <c r="AC62" s="1"/>
      <c r="AD62" s="1"/>
    </row>
    <row r="63" spans="1:30" ht="12.75">
      <c r="A63">
        <f t="shared" si="0"/>
        <v>60</v>
      </c>
      <c r="D63" s="1" t="s">
        <v>30</v>
      </c>
      <c r="E63" s="23">
        <f t="shared" si="1"/>
        <v>61</v>
      </c>
      <c r="F63" s="1"/>
      <c r="G63" s="3"/>
      <c r="H63" s="1">
        <v>23336.503</v>
      </c>
      <c r="I63" s="1">
        <f t="shared" si="9"/>
        <v>7112.9661144</v>
      </c>
      <c r="J63" s="1">
        <f t="shared" si="2"/>
        <v>432456.17000000004</v>
      </c>
      <c r="K63" s="85">
        <f t="shared" si="3"/>
        <v>81.90457765151515</v>
      </c>
      <c r="L63" s="85">
        <f t="shared" si="4"/>
        <v>131.81264061600004</v>
      </c>
      <c r="M63" s="14">
        <v>50</v>
      </c>
      <c r="N63" s="1">
        <f t="shared" si="5"/>
        <v>50</v>
      </c>
      <c r="O63" s="1">
        <f t="shared" si="6"/>
        <v>51858.89555555562</v>
      </c>
      <c r="P63" s="15">
        <v>60</v>
      </c>
      <c r="Q63" s="1">
        <f t="shared" si="10"/>
        <v>60</v>
      </c>
      <c r="R63" s="1">
        <f t="shared" si="7"/>
        <v>62230.67466666674</v>
      </c>
      <c r="S63" s="1">
        <f t="shared" si="8"/>
        <v>19706.38031111113</v>
      </c>
      <c r="W63" s="2"/>
      <c r="Y63" s="1"/>
      <c r="Z63" s="1"/>
      <c r="AA63" s="1"/>
      <c r="AB63" s="3"/>
      <c r="AC63" s="1"/>
      <c r="AD63" s="1"/>
    </row>
    <row r="64" spans="1:30" ht="12.75">
      <c r="A64">
        <f t="shared" si="0"/>
        <v>61</v>
      </c>
      <c r="D64" s="1" t="s">
        <v>30</v>
      </c>
      <c r="E64" s="23">
        <f t="shared" si="1"/>
        <v>62</v>
      </c>
      <c r="F64" s="1">
        <v>5730</v>
      </c>
      <c r="G64" s="3">
        <f>5730/F64</f>
        <v>1</v>
      </c>
      <c r="H64" s="1">
        <v>3594.8684</v>
      </c>
      <c r="I64" s="1">
        <f t="shared" si="9"/>
        <v>1095.71588832</v>
      </c>
      <c r="J64" s="1">
        <f t="shared" si="2"/>
        <v>436051.0384</v>
      </c>
      <c r="K64" s="85">
        <f t="shared" si="3"/>
        <v>82.58542393939395</v>
      </c>
      <c r="L64" s="85">
        <f t="shared" si="4"/>
        <v>132.90835650432004</v>
      </c>
      <c r="M64" s="14">
        <v>50</v>
      </c>
      <c r="N64" s="1">
        <f t="shared" si="5"/>
        <v>50</v>
      </c>
      <c r="O64" s="1">
        <f t="shared" si="6"/>
        <v>7988.596444444394</v>
      </c>
      <c r="P64" s="15">
        <v>60</v>
      </c>
      <c r="Q64" s="1">
        <f t="shared" si="10"/>
        <v>60</v>
      </c>
      <c r="R64" s="1">
        <f t="shared" si="7"/>
        <v>9586.315733333273</v>
      </c>
      <c r="S64" s="1">
        <f t="shared" si="8"/>
        <v>3035.666648888869</v>
      </c>
      <c r="W64" s="2"/>
      <c r="Y64" s="1"/>
      <c r="Z64" s="1"/>
      <c r="AA64" s="1"/>
      <c r="AB64" s="3"/>
      <c r="AC64" s="1"/>
      <c r="AD64" s="1"/>
    </row>
    <row r="65" spans="1:30" ht="12.75">
      <c r="A65">
        <f t="shared" si="0"/>
        <v>62</v>
      </c>
      <c r="D65" s="1" t="s">
        <v>30</v>
      </c>
      <c r="E65" s="23">
        <f t="shared" si="1"/>
        <v>63</v>
      </c>
      <c r="F65" s="1"/>
      <c r="G65" s="3"/>
      <c r="H65" s="1">
        <v>2315.5346</v>
      </c>
      <c r="I65" s="1">
        <f t="shared" si="9"/>
        <v>705.7749460800001</v>
      </c>
      <c r="J65" s="1">
        <f t="shared" si="2"/>
        <v>438366.57300000003</v>
      </c>
      <c r="K65" s="85">
        <f t="shared" si="3"/>
        <v>83.02397215909092</v>
      </c>
      <c r="L65" s="85">
        <f t="shared" si="4"/>
        <v>133.61413145040004</v>
      </c>
      <c r="M65" s="14">
        <v>50</v>
      </c>
      <c r="N65" s="1">
        <f t="shared" si="5"/>
        <v>50</v>
      </c>
      <c r="O65" s="1">
        <f t="shared" si="6"/>
        <v>5145.6324444444745</v>
      </c>
      <c r="P65" s="15">
        <v>60</v>
      </c>
      <c r="Q65" s="1">
        <f t="shared" si="10"/>
        <v>60</v>
      </c>
      <c r="R65" s="1">
        <f t="shared" si="7"/>
        <v>6174.75893333337</v>
      </c>
      <c r="S65" s="1">
        <f t="shared" si="8"/>
        <v>1955.3403288889012</v>
      </c>
      <c r="W65" s="2"/>
      <c r="Y65" s="1"/>
      <c r="Z65" s="1"/>
      <c r="AA65" s="1"/>
      <c r="AB65" s="3"/>
      <c r="AC65" s="1"/>
      <c r="AD65" s="1"/>
    </row>
    <row r="66" spans="1:30" ht="12.75">
      <c r="A66">
        <f t="shared" si="0"/>
        <v>63</v>
      </c>
      <c r="D66" s="1" t="s">
        <v>30</v>
      </c>
      <c r="E66" s="23">
        <f t="shared" si="1"/>
        <v>64</v>
      </c>
      <c r="F66" s="1">
        <v>1910</v>
      </c>
      <c r="G66" s="3">
        <f>5730/F66</f>
        <v>3</v>
      </c>
      <c r="H66" s="1">
        <v>673.1828</v>
      </c>
      <c r="I66" s="1">
        <f t="shared" si="9"/>
        <v>205.18611744000003</v>
      </c>
      <c r="J66" s="1">
        <f t="shared" si="2"/>
        <v>439039.75580000004</v>
      </c>
      <c r="K66" s="85">
        <f t="shared" si="3"/>
        <v>83.15146890151516</v>
      </c>
      <c r="L66" s="85">
        <f t="shared" si="4"/>
        <v>133.81931756784005</v>
      </c>
      <c r="M66" s="14">
        <v>50</v>
      </c>
      <c r="N66" s="1">
        <f t="shared" si="5"/>
        <v>50</v>
      </c>
      <c r="O66" s="1">
        <f t="shared" si="6"/>
        <v>1495.9617777777992</v>
      </c>
      <c r="P66" s="15">
        <v>60</v>
      </c>
      <c r="Q66" s="1">
        <f t="shared" si="10"/>
        <v>60</v>
      </c>
      <c r="R66" s="1">
        <f t="shared" si="7"/>
        <v>1795.154133333359</v>
      </c>
      <c r="S66" s="1">
        <f t="shared" si="8"/>
        <v>568.4654755555634</v>
      </c>
      <c r="W66" s="2"/>
      <c r="Y66" s="1"/>
      <c r="Z66" s="1"/>
      <c r="AA66" s="1"/>
      <c r="AB66" s="3"/>
      <c r="AC66" s="1"/>
      <c r="AD66" s="1"/>
    </row>
    <row r="67" spans="1:30" ht="12.75">
      <c r="A67">
        <f t="shared" si="0"/>
        <v>64</v>
      </c>
      <c r="D67" s="1" t="s">
        <v>30</v>
      </c>
      <c r="E67" s="23">
        <f t="shared" si="1"/>
        <v>65</v>
      </c>
      <c r="F67" s="1"/>
      <c r="G67" s="3"/>
      <c r="H67" s="1">
        <v>3299.0532</v>
      </c>
      <c r="I67" s="1">
        <f t="shared" si="9"/>
        <v>1005.55141536</v>
      </c>
      <c r="J67" s="1">
        <f t="shared" si="2"/>
        <v>442338.80900000007</v>
      </c>
      <c r="K67" s="85">
        <f t="shared" si="3"/>
        <v>83.77628958333335</v>
      </c>
      <c r="L67" s="85">
        <f t="shared" si="4"/>
        <v>134.82486898320005</v>
      </c>
      <c r="M67" s="14">
        <v>50</v>
      </c>
      <c r="N67" s="1">
        <f t="shared" si="5"/>
        <v>50</v>
      </c>
      <c r="O67" s="1">
        <f t="shared" si="6"/>
        <v>7331.229333333386</v>
      </c>
      <c r="P67" s="15">
        <v>60</v>
      </c>
      <c r="Q67" s="1">
        <f t="shared" si="10"/>
        <v>60</v>
      </c>
      <c r="R67" s="1">
        <f t="shared" si="7"/>
        <v>8797.475200000064</v>
      </c>
      <c r="S67" s="1">
        <f t="shared" si="8"/>
        <v>2785.8671466666883</v>
      </c>
      <c r="W67" s="2"/>
      <c r="Y67" s="1"/>
      <c r="Z67" s="1"/>
      <c r="AA67" s="1"/>
      <c r="AB67" s="3"/>
      <c r="AC67" s="1"/>
      <c r="AD67" s="1"/>
    </row>
    <row r="68" spans="1:30" ht="12.75">
      <c r="A68">
        <f aca="true" t="shared" si="14" ref="A68:A131">+A67+1</f>
        <v>65</v>
      </c>
      <c r="D68" s="1" t="s">
        <v>30</v>
      </c>
      <c r="E68" s="23">
        <f t="shared" si="1"/>
        <v>66</v>
      </c>
      <c r="F68" s="1">
        <v>5730</v>
      </c>
      <c r="G68" s="3">
        <f>5730/F68</f>
        <v>1</v>
      </c>
      <c r="H68" s="1">
        <v>1761.9023</v>
      </c>
      <c r="I68" s="1">
        <f t="shared" si="9"/>
        <v>537.02782104</v>
      </c>
      <c r="J68" s="1">
        <f aca="true" t="shared" si="15" ref="J68:J124">+J67+H68</f>
        <v>444100.7113000001</v>
      </c>
      <c r="K68" s="85">
        <f aca="true" t="shared" si="16" ref="K68:K124">+J68/5280</f>
        <v>84.1099832007576</v>
      </c>
      <c r="L68" s="85">
        <f t="shared" si="4"/>
        <v>135.36189680424005</v>
      </c>
      <c r="M68" s="14">
        <v>50</v>
      </c>
      <c r="N68" s="1">
        <f aca="true" t="shared" si="17" ref="N68:N124">+(M67+M68)/2</f>
        <v>50</v>
      </c>
      <c r="O68" s="1">
        <f aca="true" t="shared" si="18" ref="O68:O124">1.2*N68*(J68-J67)/27</f>
        <v>3915.33844444448</v>
      </c>
      <c r="P68" s="15">
        <v>60</v>
      </c>
      <c r="Q68" s="1">
        <f t="shared" si="10"/>
        <v>60</v>
      </c>
      <c r="R68" s="1">
        <f aca="true" t="shared" si="19" ref="R68:R124">1.2*Q68*(J68-J67)/27</f>
        <v>4698.406133333377</v>
      </c>
      <c r="S68" s="1">
        <f aca="true" t="shared" si="20" ref="S68:S124">1.9*(R68-O68)</f>
        <v>1487.8286088889033</v>
      </c>
      <c r="W68" s="2"/>
      <c r="Y68" s="1"/>
      <c r="Z68" s="1"/>
      <c r="AA68" s="1"/>
      <c r="AB68" s="3"/>
      <c r="AC68" s="1"/>
      <c r="AD68" s="1"/>
    </row>
    <row r="69" spans="1:30" ht="12.75">
      <c r="A69">
        <f t="shared" si="14"/>
        <v>66</v>
      </c>
      <c r="D69" s="1" t="s">
        <v>30</v>
      </c>
      <c r="E69" s="23">
        <f aca="true" t="shared" si="21" ref="E69:E132">+E68+1</f>
        <v>67</v>
      </c>
      <c r="F69" s="1"/>
      <c r="G69" s="3"/>
      <c r="H69" s="1">
        <v>3630.5865</v>
      </c>
      <c r="I69" s="1">
        <f t="shared" si="9"/>
        <v>1106.6027652</v>
      </c>
      <c r="J69" s="1">
        <f t="shared" si="15"/>
        <v>447731.29780000006</v>
      </c>
      <c r="K69" s="85">
        <f t="shared" si="16"/>
        <v>84.79759428030304</v>
      </c>
      <c r="L69" s="85">
        <f t="shared" si="4"/>
        <v>136.46849956944004</v>
      </c>
      <c r="M69" s="14">
        <v>50</v>
      </c>
      <c r="N69" s="1">
        <f t="shared" si="17"/>
        <v>50</v>
      </c>
      <c r="O69" s="1">
        <f t="shared" si="18"/>
        <v>8067.969999999947</v>
      </c>
      <c r="P69" s="15">
        <v>60</v>
      </c>
      <c r="Q69" s="1">
        <f aca="true" t="shared" si="22" ref="Q69:Q125">+(P68+P69)/2</f>
        <v>60</v>
      </c>
      <c r="R69" s="1">
        <f t="shared" si="19"/>
        <v>9681.563999999935</v>
      </c>
      <c r="S69" s="1">
        <f t="shared" si="20"/>
        <v>3065.8285999999775</v>
      </c>
      <c r="W69" s="2"/>
      <c r="Y69" s="1"/>
      <c r="Z69" s="1"/>
      <c r="AA69" s="1"/>
      <c r="AB69" s="3"/>
      <c r="AC69" s="1"/>
      <c r="AD69" s="1"/>
    </row>
    <row r="70" spans="1:30" ht="12.75">
      <c r="A70">
        <f t="shared" si="14"/>
        <v>67</v>
      </c>
      <c r="D70" s="1" t="s">
        <v>30</v>
      </c>
      <c r="E70" s="23">
        <f t="shared" si="21"/>
        <v>68</v>
      </c>
      <c r="F70" s="1">
        <v>2865</v>
      </c>
      <c r="G70" s="3">
        <f>5730/F70</f>
        <v>2</v>
      </c>
      <c r="H70" s="1">
        <v>2750.3029</v>
      </c>
      <c r="I70" s="1">
        <f t="shared" si="9"/>
        <v>838.2923239200001</v>
      </c>
      <c r="J70" s="1">
        <f t="shared" si="15"/>
        <v>450481.60070000007</v>
      </c>
      <c r="K70" s="85">
        <f t="shared" si="16"/>
        <v>85.31848498106062</v>
      </c>
      <c r="L70" s="85">
        <f aca="true" t="shared" si="23" ref="L70:L133">+L69+I70/1000</f>
        <v>137.30679189336004</v>
      </c>
      <c r="M70" s="14">
        <v>50</v>
      </c>
      <c r="N70" s="1">
        <f t="shared" si="17"/>
        <v>50</v>
      </c>
      <c r="O70" s="1">
        <f t="shared" si="18"/>
        <v>6111.784222222243</v>
      </c>
      <c r="P70" s="15">
        <v>60</v>
      </c>
      <c r="Q70" s="1">
        <f t="shared" si="22"/>
        <v>60</v>
      </c>
      <c r="R70" s="1">
        <f t="shared" si="19"/>
        <v>7334.1410666666925</v>
      </c>
      <c r="S70" s="1">
        <f t="shared" si="20"/>
        <v>2322.4780044444533</v>
      </c>
      <c r="W70" s="2"/>
      <c r="Y70" s="1"/>
      <c r="Z70" s="1"/>
      <c r="AA70" s="1"/>
      <c r="AB70" s="3"/>
      <c r="AC70" s="1"/>
      <c r="AD70" s="1"/>
    </row>
    <row r="71" spans="1:30" ht="12.75">
      <c r="A71">
        <f t="shared" si="14"/>
        <v>68</v>
      </c>
      <c r="D71" s="1" t="s">
        <v>30</v>
      </c>
      <c r="E71" s="23">
        <f t="shared" si="21"/>
        <v>69</v>
      </c>
      <c r="F71" s="1"/>
      <c r="G71" s="3"/>
      <c r="H71" s="1">
        <v>613.409</v>
      </c>
      <c r="I71" s="1">
        <f aca="true" t="shared" si="24" ref="I71:I134">+H71*0.3048</f>
        <v>186.9670632</v>
      </c>
      <c r="J71" s="1">
        <f t="shared" si="15"/>
        <v>451095.00970000005</v>
      </c>
      <c r="K71" s="85">
        <f t="shared" si="16"/>
        <v>85.43466092803031</v>
      </c>
      <c r="L71" s="85">
        <f t="shared" si="23"/>
        <v>137.49375895656004</v>
      </c>
      <c r="M71" s="14">
        <v>50</v>
      </c>
      <c r="N71" s="1">
        <f t="shared" si="17"/>
        <v>50</v>
      </c>
      <c r="O71" s="1">
        <f t="shared" si="18"/>
        <v>1363.131111111078</v>
      </c>
      <c r="P71" s="15">
        <v>60</v>
      </c>
      <c r="Q71" s="1">
        <f t="shared" si="22"/>
        <v>60</v>
      </c>
      <c r="R71" s="1">
        <f t="shared" si="19"/>
        <v>1635.7573333332937</v>
      </c>
      <c r="S71" s="1">
        <f t="shared" si="20"/>
        <v>517.9898222222096</v>
      </c>
      <c r="W71" s="2"/>
      <c r="Y71" s="1"/>
      <c r="Z71" s="1"/>
      <c r="AA71" s="1"/>
      <c r="AB71" s="3"/>
      <c r="AC71" s="1"/>
      <c r="AD71" s="1"/>
    </row>
    <row r="72" spans="1:30" ht="12.75">
      <c r="A72">
        <f t="shared" si="14"/>
        <v>69</v>
      </c>
      <c r="D72" s="1" t="s">
        <v>30</v>
      </c>
      <c r="E72" s="23">
        <f t="shared" si="21"/>
        <v>70</v>
      </c>
      <c r="F72" s="1">
        <v>5730</v>
      </c>
      <c r="G72" s="3">
        <f>5730/F72</f>
        <v>1</v>
      </c>
      <c r="H72" s="1">
        <v>8959.9789</v>
      </c>
      <c r="I72" s="1">
        <f t="shared" si="24"/>
        <v>2731.0015687200003</v>
      </c>
      <c r="J72" s="1">
        <f t="shared" si="15"/>
        <v>460054.98860000004</v>
      </c>
      <c r="K72" s="85">
        <f t="shared" si="16"/>
        <v>87.13162662878788</v>
      </c>
      <c r="L72" s="85">
        <f t="shared" si="23"/>
        <v>140.22476052528003</v>
      </c>
      <c r="M72" s="14">
        <v>50</v>
      </c>
      <c r="N72" s="1">
        <f t="shared" si="17"/>
        <v>50</v>
      </c>
      <c r="O72" s="1">
        <f t="shared" si="18"/>
        <v>19911.064222222194</v>
      </c>
      <c r="P72" s="15">
        <v>60</v>
      </c>
      <c r="Q72" s="1">
        <f t="shared" si="22"/>
        <v>60</v>
      </c>
      <c r="R72" s="1">
        <f t="shared" si="19"/>
        <v>23893.277066666633</v>
      </c>
      <c r="S72" s="1">
        <f t="shared" si="20"/>
        <v>7566.204404444434</v>
      </c>
      <c r="W72" s="2"/>
      <c r="Y72" s="1"/>
      <c r="Z72" s="1"/>
      <c r="AA72" s="1"/>
      <c r="AB72" s="3"/>
      <c r="AC72" s="1"/>
      <c r="AD72" s="1"/>
    </row>
    <row r="73" spans="1:30" ht="12.75">
      <c r="A73">
        <f t="shared" si="14"/>
        <v>70</v>
      </c>
      <c r="D73" s="1" t="s">
        <v>30</v>
      </c>
      <c r="E73" s="23">
        <f t="shared" si="21"/>
        <v>71</v>
      </c>
      <c r="F73" s="1"/>
      <c r="G73" s="3"/>
      <c r="H73" s="1">
        <v>13489.773</v>
      </c>
      <c r="I73" s="1">
        <f t="shared" si="24"/>
        <v>4111.6828104</v>
      </c>
      <c r="J73" s="1">
        <f t="shared" si="15"/>
        <v>473544.7616</v>
      </c>
      <c r="K73" s="85">
        <f t="shared" si="16"/>
        <v>89.68650787878788</v>
      </c>
      <c r="L73" s="85">
        <f t="shared" si="23"/>
        <v>144.33644333568003</v>
      </c>
      <c r="M73" s="14">
        <v>50</v>
      </c>
      <c r="N73" s="1">
        <f t="shared" si="17"/>
        <v>50</v>
      </c>
      <c r="O73" s="1">
        <f t="shared" si="18"/>
        <v>29977.2733333333</v>
      </c>
      <c r="P73" s="15">
        <v>60</v>
      </c>
      <c r="Q73" s="1">
        <f t="shared" si="22"/>
        <v>60</v>
      </c>
      <c r="R73" s="1">
        <f t="shared" si="19"/>
        <v>35972.72799999997</v>
      </c>
      <c r="S73" s="1">
        <f t="shared" si="20"/>
        <v>11391.363866666663</v>
      </c>
      <c r="W73" s="2"/>
      <c r="Y73" s="1"/>
      <c r="Z73" s="1"/>
      <c r="AA73" s="1"/>
      <c r="AB73" s="3"/>
      <c r="AC73" s="1"/>
      <c r="AD73" s="1"/>
    </row>
    <row r="74" spans="1:30" ht="12.75">
      <c r="A74">
        <f t="shared" si="14"/>
        <v>71</v>
      </c>
      <c r="D74" s="1" t="s">
        <v>30</v>
      </c>
      <c r="E74" s="23">
        <f t="shared" si="21"/>
        <v>72</v>
      </c>
      <c r="F74" s="1">
        <v>5730</v>
      </c>
      <c r="G74" s="3">
        <f>5730/F74</f>
        <v>1</v>
      </c>
      <c r="H74" s="1">
        <v>1422.4603</v>
      </c>
      <c r="I74" s="1">
        <f t="shared" si="24"/>
        <v>433.56589944</v>
      </c>
      <c r="J74" s="1">
        <f t="shared" si="15"/>
        <v>474967.2219</v>
      </c>
      <c r="K74" s="85">
        <f t="shared" si="16"/>
        <v>89.95591323863637</v>
      </c>
      <c r="L74" s="85">
        <f t="shared" si="23"/>
        <v>144.77000923512003</v>
      </c>
      <c r="M74" s="14">
        <v>50</v>
      </c>
      <c r="N74" s="1">
        <f t="shared" si="17"/>
        <v>50</v>
      </c>
      <c r="O74" s="1">
        <f t="shared" si="18"/>
        <v>3161.0228888888378</v>
      </c>
      <c r="P74" s="15">
        <v>60</v>
      </c>
      <c r="Q74" s="1">
        <f t="shared" si="22"/>
        <v>60</v>
      </c>
      <c r="R74" s="1">
        <f t="shared" si="19"/>
        <v>3793.2274666666053</v>
      </c>
      <c r="S74" s="1">
        <f t="shared" si="20"/>
        <v>1201.1886977777583</v>
      </c>
      <c r="W74" s="2"/>
      <c r="Y74" s="1"/>
      <c r="Z74" s="1"/>
      <c r="AA74" s="1"/>
      <c r="AB74" s="3"/>
      <c r="AC74" s="1"/>
      <c r="AD74" s="1"/>
    </row>
    <row r="75" spans="1:30" ht="12.75">
      <c r="A75">
        <f t="shared" si="14"/>
        <v>72</v>
      </c>
      <c r="D75" s="1" t="s">
        <v>30</v>
      </c>
      <c r="E75" s="23">
        <f t="shared" si="21"/>
        <v>73</v>
      </c>
      <c r="F75" s="1"/>
      <c r="G75" s="3"/>
      <c r="H75" s="1">
        <v>4706.0512</v>
      </c>
      <c r="I75" s="1">
        <f t="shared" si="24"/>
        <v>1434.4044057600001</v>
      </c>
      <c r="J75" s="1">
        <f t="shared" si="15"/>
        <v>479673.2731</v>
      </c>
      <c r="K75" s="85">
        <f t="shared" si="16"/>
        <v>90.84721081439393</v>
      </c>
      <c r="L75" s="85">
        <f t="shared" si="23"/>
        <v>146.20441364088003</v>
      </c>
      <c r="M75" s="14">
        <v>50</v>
      </c>
      <c r="N75" s="1">
        <f t="shared" si="17"/>
        <v>50</v>
      </c>
      <c r="O75" s="1">
        <f t="shared" si="18"/>
        <v>10457.891555555527</v>
      </c>
      <c r="P75" s="15">
        <v>70</v>
      </c>
      <c r="Q75" s="1">
        <f t="shared" si="22"/>
        <v>65</v>
      </c>
      <c r="R75" s="1">
        <f t="shared" si="19"/>
        <v>13595.259022222184</v>
      </c>
      <c r="S75" s="1">
        <f t="shared" si="20"/>
        <v>5960.9981866666485</v>
      </c>
      <c r="W75" s="2"/>
      <c r="Y75" s="1"/>
      <c r="Z75" s="1"/>
      <c r="AA75" s="1"/>
      <c r="AB75" s="3"/>
      <c r="AC75" s="1"/>
      <c r="AD75" s="1"/>
    </row>
    <row r="76" spans="1:30" ht="12.75">
      <c r="A76">
        <f t="shared" si="14"/>
        <v>73</v>
      </c>
      <c r="D76" s="1" t="s">
        <v>30</v>
      </c>
      <c r="E76" s="23">
        <f t="shared" si="21"/>
        <v>74</v>
      </c>
      <c r="F76" s="1">
        <v>2865</v>
      </c>
      <c r="G76" s="3">
        <f>5730/F76</f>
        <v>2</v>
      </c>
      <c r="H76" s="1">
        <v>1873.1009</v>
      </c>
      <c r="I76" s="1">
        <f t="shared" si="24"/>
        <v>570.92115432</v>
      </c>
      <c r="J76" s="1">
        <f t="shared" si="15"/>
        <v>481546.374</v>
      </c>
      <c r="K76" s="85">
        <f t="shared" si="16"/>
        <v>91.20196477272728</v>
      </c>
      <c r="L76" s="85">
        <f t="shared" si="23"/>
        <v>146.77533479520002</v>
      </c>
      <c r="M76" s="14">
        <v>50</v>
      </c>
      <c r="N76" s="1">
        <f t="shared" si="17"/>
        <v>50</v>
      </c>
      <c r="O76" s="1">
        <f t="shared" si="18"/>
        <v>4162.4464444444875</v>
      </c>
      <c r="P76" s="15">
        <v>75</v>
      </c>
      <c r="Q76" s="1">
        <f t="shared" si="22"/>
        <v>72.5</v>
      </c>
      <c r="R76" s="1">
        <f t="shared" si="19"/>
        <v>6035.547344444507</v>
      </c>
      <c r="S76" s="1">
        <f t="shared" si="20"/>
        <v>3558.8917100000367</v>
      </c>
      <c r="W76" s="2"/>
      <c r="Y76" s="1"/>
      <c r="Z76" s="1"/>
      <c r="AA76" s="1"/>
      <c r="AB76" s="3"/>
      <c r="AC76" s="1"/>
      <c r="AD76" s="1"/>
    </row>
    <row r="77" spans="1:30" ht="12.75">
      <c r="A77">
        <f t="shared" si="14"/>
        <v>74</v>
      </c>
      <c r="D77" s="1" t="s">
        <v>30</v>
      </c>
      <c r="E77" s="23">
        <f t="shared" si="21"/>
        <v>75</v>
      </c>
      <c r="G77" s="3"/>
      <c r="H77" s="1">
        <v>988.1138</v>
      </c>
      <c r="I77" s="1">
        <f t="shared" si="24"/>
        <v>301.17708624</v>
      </c>
      <c r="J77" s="1">
        <f t="shared" si="15"/>
        <v>482534.4878</v>
      </c>
      <c r="K77" s="85">
        <f t="shared" si="16"/>
        <v>91.38910753787879</v>
      </c>
      <c r="L77" s="85">
        <f t="shared" si="23"/>
        <v>147.07651188144</v>
      </c>
      <c r="M77" s="14">
        <v>50</v>
      </c>
      <c r="N77" s="1">
        <f t="shared" si="17"/>
        <v>50</v>
      </c>
      <c r="O77" s="1">
        <f t="shared" si="18"/>
        <v>2195.8084444444266</v>
      </c>
      <c r="P77" s="15">
        <v>80</v>
      </c>
      <c r="Q77" s="1">
        <f t="shared" si="22"/>
        <v>77.5</v>
      </c>
      <c r="R77" s="1">
        <f t="shared" si="19"/>
        <v>3403.503088888861</v>
      </c>
      <c r="S77" s="1">
        <f t="shared" si="20"/>
        <v>2294.619824444425</v>
      </c>
      <c r="W77" s="2"/>
      <c r="Y77" s="1"/>
      <c r="Z77" s="1"/>
      <c r="AA77" s="1"/>
      <c r="AB77" s="3"/>
      <c r="AC77" s="1"/>
      <c r="AD77" s="1"/>
    </row>
    <row r="78" spans="1:30" ht="12.75">
      <c r="A78">
        <f t="shared" si="14"/>
        <v>75</v>
      </c>
      <c r="D78" s="1" t="s">
        <v>30</v>
      </c>
      <c r="E78" s="23">
        <f t="shared" si="21"/>
        <v>76</v>
      </c>
      <c r="F78" s="1">
        <v>1910</v>
      </c>
      <c r="G78" s="3">
        <f>5730/F78</f>
        <v>3</v>
      </c>
      <c r="H78" s="1">
        <v>1281.6534</v>
      </c>
      <c r="I78" s="1">
        <f t="shared" si="24"/>
        <v>390.64795632</v>
      </c>
      <c r="J78" s="1">
        <f t="shared" si="15"/>
        <v>483816.1412</v>
      </c>
      <c r="K78" s="85">
        <f t="shared" si="16"/>
        <v>91.63184492424243</v>
      </c>
      <c r="L78" s="85">
        <f t="shared" si="23"/>
        <v>147.46715983776002</v>
      </c>
      <c r="M78" s="14">
        <v>50</v>
      </c>
      <c r="N78" s="1">
        <f t="shared" si="17"/>
        <v>50</v>
      </c>
      <c r="O78" s="1">
        <f t="shared" si="18"/>
        <v>2848.118666666689</v>
      </c>
      <c r="P78" s="15">
        <v>100</v>
      </c>
      <c r="Q78" s="1">
        <f t="shared" si="22"/>
        <v>90</v>
      </c>
      <c r="R78" s="1">
        <f t="shared" si="19"/>
        <v>5126.613600000041</v>
      </c>
      <c r="S78" s="1">
        <f t="shared" si="20"/>
        <v>4329.140373333368</v>
      </c>
      <c r="W78" s="2"/>
      <c r="Y78" s="1"/>
      <c r="Z78" s="1"/>
      <c r="AA78" s="1"/>
      <c r="AB78" s="3"/>
      <c r="AC78" s="1"/>
      <c r="AD78" s="1"/>
    </row>
    <row r="79" spans="1:30" ht="12.75">
      <c r="A79">
        <f t="shared" si="14"/>
        <v>76</v>
      </c>
      <c r="B79" s="1"/>
      <c r="C79" s="1"/>
      <c r="D79" s="1" t="s">
        <v>30</v>
      </c>
      <c r="E79" s="23">
        <f t="shared" si="21"/>
        <v>77</v>
      </c>
      <c r="F79" s="1"/>
      <c r="G79" s="3"/>
      <c r="H79" s="1">
        <v>1423.1008</v>
      </c>
      <c r="I79" s="1">
        <f t="shared" si="24"/>
        <v>433.76112384</v>
      </c>
      <c r="J79" s="1">
        <f t="shared" si="15"/>
        <v>485239.242</v>
      </c>
      <c r="K79" s="85">
        <f t="shared" si="16"/>
        <v>91.9013715909091</v>
      </c>
      <c r="L79" s="85">
        <f t="shared" si="23"/>
        <v>147.9009209616</v>
      </c>
      <c r="M79" s="14">
        <v>50</v>
      </c>
      <c r="N79" s="1">
        <f t="shared" si="17"/>
        <v>50</v>
      </c>
      <c r="O79" s="1">
        <f t="shared" si="18"/>
        <v>3162.446222222255</v>
      </c>
      <c r="P79" s="15">
        <v>150</v>
      </c>
      <c r="Q79" s="1">
        <f t="shared" si="22"/>
        <v>125</v>
      </c>
      <c r="R79" s="1">
        <f t="shared" si="19"/>
        <v>7906.115555555637</v>
      </c>
      <c r="S79" s="1">
        <f t="shared" si="20"/>
        <v>9012.971733333427</v>
      </c>
      <c r="W79" s="2"/>
      <c r="Y79" s="1"/>
      <c r="Z79" s="1"/>
      <c r="AA79" s="1"/>
      <c r="AB79" s="3"/>
      <c r="AC79" s="1"/>
      <c r="AD79" s="1"/>
    </row>
    <row r="80" spans="1:30" ht="12.75">
      <c r="A80">
        <f t="shared" si="14"/>
        <v>77</v>
      </c>
      <c r="D80" s="1" t="s">
        <v>30</v>
      </c>
      <c r="E80" s="23">
        <f t="shared" si="21"/>
        <v>78</v>
      </c>
      <c r="F80" s="1">
        <v>2865</v>
      </c>
      <c r="G80" s="3">
        <f>5730/F80</f>
        <v>2</v>
      </c>
      <c r="H80" s="1">
        <v>759.7017</v>
      </c>
      <c r="I80" s="1">
        <f t="shared" si="24"/>
        <v>231.55707816</v>
      </c>
      <c r="J80" s="1">
        <f t="shared" si="15"/>
        <v>485998.9437</v>
      </c>
      <c r="K80" s="85">
        <f t="shared" si="16"/>
        <v>92.04525448863636</v>
      </c>
      <c r="L80" s="85">
        <f t="shared" si="23"/>
        <v>148.13247803976</v>
      </c>
      <c r="M80" s="14">
        <v>50</v>
      </c>
      <c r="N80" s="1">
        <f t="shared" si="17"/>
        <v>50</v>
      </c>
      <c r="O80" s="1">
        <f t="shared" si="18"/>
        <v>1688.2259999999467</v>
      </c>
      <c r="P80" s="15">
        <v>200</v>
      </c>
      <c r="Q80" s="1">
        <f t="shared" si="22"/>
        <v>175</v>
      </c>
      <c r="R80" s="1">
        <f t="shared" si="19"/>
        <v>5908.790999999813</v>
      </c>
      <c r="S80" s="1">
        <f t="shared" si="20"/>
        <v>8019.073499999745</v>
      </c>
      <c r="W80" s="2"/>
      <c r="Y80" s="1"/>
      <c r="Z80" s="1"/>
      <c r="AA80" s="1"/>
      <c r="AB80" s="3"/>
      <c r="AC80" s="1"/>
      <c r="AD80" s="1"/>
    </row>
    <row r="81" spans="1:30" ht="12.75">
      <c r="A81">
        <f t="shared" si="14"/>
        <v>78</v>
      </c>
      <c r="D81" s="1" t="s">
        <v>30</v>
      </c>
      <c r="E81" s="23">
        <f t="shared" si="21"/>
        <v>79</v>
      </c>
      <c r="F81" s="1"/>
      <c r="G81" s="3"/>
      <c r="H81" s="1">
        <v>1551.3075</v>
      </c>
      <c r="I81" s="1">
        <f t="shared" si="24"/>
        <v>472.838526</v>
      </c>
      <c r="J81" s="1">
        <f t="shared" si="15"/>
        <v>487550.2512</v>
      </c>
      <c r="K81" s="85">
        <f t="shared" si="16"/>
        <v>92.33906272727273</v>
      </c>
      <c r="L81" s="85">
        <f t="shared" si="23"/>
        <v>148.60531656576</v>
      </c>
      <c r="M81" s="14">
        <v>50</v>
      </c>
      <c r="N81" s="1">
        <f t="shared" si="17"/>
        <v>50</v>
      </c>
      <c r="O81" s="1">
        <f t="shared" si="18"/>
        <v>3447.3499999999894</v>
      </c>
      <c r="P81" s="15">
        <v>220</v>
      </c>
      <c r="Q81" s="1">
        <f t="shared" si="22"/>
        <v>210</v>
      </c>
      <c r="R81" s="1">
        <f t="shared" si="19"/>
        <v>14478.869999999957</v>
      </c>
      <c r="S81" s="1">
        <f t="shared" si="20"/>
        <v>20959.887999999937</v>
      </c>
      <c r="W81" s="2"/>
      <c r="Y81" s="1"/>
      <c r="Z81" s="1"/>
      <c r="AA81" s="1"/>
      <c r="AB81" s="3"/>
      <c r="AC81" s="1"/>
      <c r="AD81" s="1"/>
    </row>
    <row r="82" spans="1:30" ht="12.75">
      <c r="A82">
        <f t="shared" si="14"/>
        <v>79</v>
      </c>
      <c r="D82" s="1" t="s">
        <v>30</v>
      </c>
      <c r="E82" s="23">
        <f t="shared" si="21"/>
        <v>80</v>
      </c>
      <c r="F82" s="1">
        <v>2865</v>
      </c>
      <c r="G82" s="3">
        <f>5730/F82</f>
        <v>2</v>
      </c>
      <c r="H82" s="1">
        <v>2439.3844</v>
      </c>
      <c r="I82" s="1">
        <f t="shared" si="24"/>
        <v>743.52436512</v>
      </c>
      <c r="J82" s="1">
        <f t="shared" si="15"/>
        <v>489989.6356</v>
      </c>
      <c r="K82" s="85">
        <f t="shared" si="16"/>
        <v>92.80106734848485</v>
      </c>
      <c r="L82" s="85">
        <f t="shared" si="23"/>
        <v>149.34884093088002</v>
      </c>
      <c r="M82" s="14">
        <v>50</v>
      </c>
      <c r="N82" s="1">
        <f t="shared" si="17"/>
        <v>50</v>
      </c>
      <c r="O82" s="1">
        <f t="shared" si="18"/>
        <v>5420.8542222221795</v>
      </c>
      <c r="P82" s="15">
        <v>250</v>
      </c>
      <c r="Q82" s="1">
        <f t="shared" si="22"/>
        <v>235</v>
      </c>
      <c r="R82" s="1">
        <f t="shared" si="19"/>
        <v>25478.014844444246</v>
      </c>
      <c r="S82" s="1">
        <f t="shared" si="20"/>
        <v>38108.60518222192</v>
      </c>
      <c r="W82" s="2"/>
      <c r="Y82" s="1"/>
      <c r="Z82" s="1"/>
      <c r="AA82" s="1"/>
      <c r="AB82" s="3"/>
      <c r="AC82" s="1"/>
      <c r="AD82" s="1"/>
    </row>
    <row r="83" spans="1:30" ht="12.75">
      <c r="A83">
        <f t="shared" si="14"/>
        <v>80</v>
      </c>
      <c r="D83" s="1" t="s">
        <v>30</v>
      </c>
      <c r="E83" s="23">
        <f t="shared" si="21"/>
        <v>81</v>
      </c>
      <c r="F83" s="1"/>
      <c r="G83" s="3"/>
      <c r="H83" s="1">
        <v>1374.0543</v>
      </c>
      <c r="I83" s="1">
        <f t="shared" si="24"/>
        <v>418.81175064</v>
      </c>
      <c r="J83" s="1">
        <f t="shared" si="15"/>
        <v>491363.6899</v>
      </c>
      <c r="K83" s="85">
        <f t="shared" si="16"/>
        <v>93.06130490530303</v>
      </c>
      <c r="L83" s="85">
        <f t="shared" si="23"/>
        <v>149.76765268152002</v>
      </c>
      <c r="M83" s="14">
        <v>50</v>
      </c>
      <c r="N83" s="1">
        <f t="shared" si="17"/>
        <v>50</v>
      </c>
      <c r="O83" s="1">
        <f t="shared" si="18"/>
        <v>3053.4540000000397</v>
      </c>
      <c r="P83" s="15">
        <v>280</v>
      </c>
      <c r="Q83" s="1">
        <f t="shared" si="22"/>
        <v>265</v>
      </c>
      <c r="R83" s="1">
        <f t="shared" si="19"/>
        <v>16183.306200000212</v>
      </c>
      <c r="S83" s="1">
        <f t="shared" si="20"/>
        <v>24946.719180000327</v>
      </c>
      <c r="W83" s="2"/>
      <c r="Y83" s="1"/>
      <c r="Z83" s="1"/>
      <c r="AA83" s="1"/>
      <c r="AB83" s="3"/>
      <c r="AC83" s="1"/>
      <c r="AD83" s="1"/>
    </row>
    <row r="84" spans="1:30" ht="12.75">
      <c r="A84">
        <f t="shared" si="14"/>
        <v>81</v>
      </c>
      <c r="D84" s="1" t="s">
        <v>30</v>
      </c>
      <c r="E84" s="23">
        <f t="shared" si="21"/>
        <v>82</v>
      </c>
      <c r="F84" s="1">
        <v>5730</v>
      </c>
      <c r="G84" s="3">
        <f>5730/F84</f>
        <v>1</v>
      </c>
      <c r="H84" s="1">
        <v>1897.243</v>
      </c>
      <c r="I84" s="1">
        <f t="shared" si="24"/>
        <v>578.2796664</v>
      </c>
      <c r="J84" s="1">
        <f t="shared" si="15"/>
        <v>493260.9329</v>
      </c>
      <c r="K84" s="85">
        <f t="shared" si="16"/>
        <v>93.42063123106061</v>
      </c>
      <c r="L84" s="85">
        <f t="shared" si="23"/>
        <v>150.34593234792</v>
      </c>
      <c r="M84" s="14">
        <v>0</v>
      </c>
      <c r="N84" s="1">
        <f t="shared" si="17"/>
        <v>25</v>
      </c>
      <c r="O84" s="1">
        <f t="shared" si="18"/>
        <v>2108.0477777777965</v>
      </c>
      <c r="P84" s="15">
        <v>480</v>
      </c>
      <c r="Q84" s="1">
        <f t="shared" si="22"/>
        <v>380</v>
      </c>
      <c r="R84" s="1">
        <f t="shared" si="19"/>
        <v>32042.326222222506</v>
      </c>
      <c r="S84" s="1">
        <f t="shared" si="20"/>
        <v>56875.12904444495</v>
      </c>
      <c r="W84" s="2"/>
      <c r="Y84" s="1"/>
      <c r="Z84" s="1"/>
      <c r="AA84" s="1"/>
      <c r="AB84" s="3"/>
      <c r="AC84" s="1"/>
      <c r="AD84" s="1"/>
    </row>
    <row r="85" spans="1:30" ht="12.75">
      <c r="A85">
        <f t="shared" si="14"/>
        <v>82</v>
      </c>
      <c r="D85" s="1" t="s">
        <v>30</v>
      </c>
      <c r="E85" s="23">
        <f t="shared" si="21"/>
        <v>83</v>
      </c>
      <c r="F85" s="1"/>
      <c r="G85" s="3"/>
      <c r="H85" s="1">
        <v>20361.0152</v>
      </c>
      <c r="I85" s="1">
        <f t="shared" si="24"/>
        <v>6206.037432960001</v>
      </c>
      <c r="J85" s="1">
        <f t="shared" si="15"/>
        <v>513621.94810000004</v>
      </c>
      <c r="K85" s="85">
        <f t="shared" si="16"/>
        <v>97.2768841098485</v>
      </c>
      <c r="L85" s="85">
        <f t="shared" si="23"/>
        <v>156.55196978088</v>
      </c>
      <c r="M85" s="14">
        <v>0</v>
      </c>
      <c r="N85" s="1">
        <f t="shared" si="17"/>
        <v>0</v>
      </c>
      <c r="O85" s="1">
        <f t="shared" si="18"/>
        <v>0</v>
      </c>
      <c r="P85" s="15">
        <v>480</v>
      </c>
      <c r="Q85" s="1">
        <f t="shared" si="22"/>
        <v>480</v>
      </c>
      <c r="R85" s="1">
        <f t="shared" si="19"/>
        <v>434368.3242666672</v>
      </c>
      <c r="S85" s="1">
        <f t="shared" si="20"/>
        <v>825299.8161066676</v>
      </c>
      <c r="W85" s="2"/>
      <c r="Y85" s="1"/>
      <c r="Z85" s="1"/>
      <c r="AA85" s="1"/>
      <c r="AB85" s="3"/>
      <c r="AC85" s="1"/>
      <c r="AD85" s="1"/>
    </row>
    <row r="86" spans="1:30" ht="12.75">
      <c r="A86">
        <f t="shared" si="14"/>
        <v>83</v>
      </c>
      <c r="D86" s="1" t="s">
        <v>30</v>
      </c>
      <c r="E86" s="23">
        <f t="shared" si="21"/>
        <v>84</v>
      </c>
      <c r="F86" s="1">
        <v>1910</v>
      </c>
      <c r="G86" s="3">
        <f>5730/F86</f>
        <v>3</v>
      </c>
      <c r="H86" s="1">
        <v>1886.446</v>
      </c>
      <c r="I86" s="1">
        <f t="shared" si="24"/>
        <v>574.9887408</v>
      </c>
      <c r="J86" s="1">
        <f t="shared" si="15"/>
        <v>515508.39410000003</v>
      </c>
      <c r="K86" s="85">
        <f t="shared" si="16"/>
        <v>97.63416554924243</v>
      </c>
      <c r="L86" s="85">
        <f t="shared" si="23"/>
        <v>157.12695852168</v>
      </c>
      <c r="M86" s="14">
        <v>0</v>
      </c>
      <c r="N86" s="1">
        <f t="shared" si="17"/>
        <v>0</v>
      </c>
      <c r="O86" s="1">
        <f t="shared" si="18"/>
        <v>0</v>
      </c>
      <c r="P86" s="15">
        <v>480</v>
      </c>
      <c r="Q86" s="1">
        <f t="shared" si="22"/>
        <v>480</v>
      </c>
      <c r="R86" s="1">
        <f t="shared" si="19"/>
        <v>40244.181333333254</v>
      </c>
      <c r="S86" s="1">
        <f t="shared" si="20"/>
        <v>76463.94453333318</v>
      </c>
      <c r="W86" s="2"/>
      <c r="Y86" s="1"/>
      <c r="Z86" s="1"/>
      <c r="AA86" s="1"/>
      <c r="AB86" s="3"/>
      <c r="AC86" s="1"/>
      <c r="AD86" s="1"/>
    </row>
    <row r="87" spans="1:30" ht="12.75">
      <c r="A87">
        <f t="shared" si="14"/>
        <v>84</v>
      </c>
      <c r="D87" s="1" t="s">
        <v>30</v>
      </c>
      <c r="E87" s="23">
        <f t="shared" si="21"/>
        <v>85</v>
      </c>
      <c r="F87" s="1"/>
      <c r="G87" s="3"/>
      <c r="H87" s="1">
        <v>13790.1054</v>
      </c>
      <c r="I87" s="1">
        <f t="shared" si="24"/>
        <v>4203.22412592</v>
      </c>
      <c r="J87" s="1">
        <f t="shared" si="15"/>
        <v>529298.4995</v>
      </c>
      <c r="K87" s="85">
        <f t="shared" si="16"/>
        <v>100.24592793560606</v>
      </c>
      <c r="L87" s="85">
        <f t="shared" si="23"/>
        <v>161.3301826476</v>
      </c>
      <c r="M87" s="14">
        <v>0</v>
      </c>
      <c r="N87" s="1">
        <f t="shared" si="17"/>
        <v>0</v>
      </c>
      <c r="O87" s="1">
        <f t="shared" si="18"/>
        <v>0</v>
      </c>
      <c r="P87" s="15">
        <v>480</v>
      </c>
      <c r="Q87" s="1">
        <f t="shared" si="22"/>
        <v>480</v>
      </c>
      <c r="R87" s="1">
        <f t="shared" si="19"/>
        <v>294188.9152</v>
      </c>
      <c r="S87" s="1">
        <f t="shared" si="20"/>
        <v>558958.9388799999</v>
      </c>
      <c r="W87" s="2"/>
      <c r="Y87" s="1"/>
      <c r="Z87" s="1"/>
      <c r="AA87" s="1"/>
      <c r="AB87" s="3"/>
      <c r="AC87" s="1"/>
      <c r="AD87" s="1"/>
    </row>
    <row r="88" spans="1:30" ht="12.75">
      <c r="A88">
        <f t="shared" si="14"/>
        <v>85</v>
      </c>
      <c r="D88" t="s">
        <v>30</v>
      </c>
      <c r="E88" s="23">
        <f t="shared" si="21"/>
        <v>86</v>
      </c>
      <c r="F88" s="1">
        <v>5730</v>
      </c>
      <c r="G88" s="3">
        <f>5730/F88</f>
        <v>1</v>
      </c>
      <c r="H88" s="1">
        <v>5756.4802</v>
      </c>
      <c r="I88" s="1">
        <f t="shared" si="24"/>
        <v>1754.5751649600002</v>
      </c>
      <c r="J88" s="1">
        <f>+J87+H88</f>
        <v>535054.9797</v>
      </c>
      <c r="K88" s="85">
        <f t="shared" si="16"/>
        <v>101.33617039772727</v>
      </c>
      <c r="L88" s="85">
        <f t="shared" si="23"/>
        <v>163.08475781255999</v>
      </c>
      <c r="M88" s="14">
        <v>0</v>
      </c>
      <c r="N88" s="1">
        <f>+(M87+M88)/2</f>
        <v>0</v>
      </c>
      <c r="O88" s="1">
        <f>1.2*N88*(J88-J87)/27</f>
        <v>0</v>
      </c>
      <c r="P88" s="15">
        <v>480</v>
      </c>
      <c r="Q88" s="1">
        <f>+(P87+P88)/2</f>
        <v>480</v>
      </c>
      <c r="R88" s="1">
        <f>1.2*Q88*(J88-J87)/27</f>
        <v>122804.91093333314</v>
      </c>
      <c r="S88" s="1">
        <f>1.9*(R88-O88)</f>
        <v>233329.33077333297</v>
      </c>
      <c r="W88" s="2"/>
      <c r="Y88" s="1"/>
      <c r="Z88" s="1"/>
      <c r="AA88" s="1"/>
      <c r="AB88" s="3"/>
      <c r="AC88" s="1"/>
      <c r="AD88" s="1"/>
    </row>
    <row r="89" spans="1:30" ht="12.75">
      <c r="A89">
        <f t="shared" si="14"/>
        <v>86</v>
      </c>
      <c r="D89" s="1" t="s">
        <v>30</v>
      </c>
      <c r="E89" s="23">
        <f t="shared" si="21"/>
        <v>87</v>
      </c>
      <c r="F89" s="1"/>
      <c r="G89" s="3"/>
      <c r="H89" s="1">
        <v>25098.085</v>
      </c>
      <c r="I89" s="1">
        <f t="shared" si="24"/>
        <v>7649.896308</v>
      </c>
      <c r="J89" s="1">
        <f t="shared" si="15"/>
        <v>560153.0647</v>
      </c>
      <c r="K89" s="85">
        <f t="shared" si="16"/>
        <v>106.08959558712121</v>
      </c>
      <c r="L89" s="85">
        <f t="shared" si="23"/>
        <v>170.73465412055998</v>
      </c>
      <c r="M89" s="14">
        <v>0</v>
      </c>
      <c r="N89" s="1">
        <f t="shared" si="17"/>
        <v>0</v>
      </c>
      <c r="O89" s="1">
        <f t="shared" si="18"/>
        <v>0</v>
      </c>
      <c r="P89" s="15">
        <v>480</v>
      </c>
      <c r="Q89" s="1">
        <f t="shared" si="22"/>
        <v>480</v>
      </c>
      <c r="R89" s="1">
        <f t="shared" si="19"/>
        <v>535425.8133333325</v>
      </c>
      <c r="S89" s="1">
        <f t="shared" si="20"/>
        <v>1017309.0453333318</v>
      </c>
      <c r="W89" s="2"/>
      <c r="Y89" s="1"/>
      <c r="Z89" s="1"/>
      <c r="AA89" s="1"/>
      <c r="AB89" s="3"/>
      <c r="AC89" s="1"/>
      <c r="AD89" s="1"/>
    </row>
    <row r="90" spans="1:30" ht="12.75">
      <c r="A90">
        <f t="shared" si="14"/>
        <v>87</v>
      </c>
      <c r="D90" s="1" t="s">
        <v>30</v>
      </c>
      <c r="E90" s="23">
        <f t="shared" si="21"/>
        <v>88</v>
      </c>
      <c r="F90" s="1">
        <v>5730</v>
      </c>
      <c r="G90" s="3">
        <f>5730/F90</f>
        <v>1</v>
      </c>
      <c r="H90" s="1">
        <v>1570.9507</v>
      </c>
      <c r="I90" s="1">
        <f t="shared" si="24"/>
        <v>478.82577336</v>
      </c>
      <c r="J90" s="1">
        <f t="shared" si="15"/>
        <v>561724.0154</v>
      </c>
      <c r="K90" s="85">
        <f t="shared" si="16"/>
        <v>106.38712412878789</v>
      </c>
      <c r="L90" s="85">
        <f t="shared" si="23"/>
        <v>171.21347989391998</v>
      </c>
      <c r="M90" s="14">
        <v>0</v>
      </c>
      <c r="N90" s="1">
        <f t="shared" si="17"/>
        <v>0</v>
      </c>
      <c r="O90" s="1">
        <f t="shared" si="18"/>
        <v>0</v>
      </c>
      <c r="P90" s="15">
        <v>480</v>
      </c>
      <c r="Q90" s="1">
        <f t="shared" si="22"/>
        <v>480</v>
      </c>
      <c r="R90" s="1">
        <f t="shared" si="19"/>
        <v>33513.61493333429</v>
      </c>
      <c r="S90" s="1">
        <f t="shared" si="20"/>
        <v>63675.86837333515</v>
      </c>
      <c r="W90" s="2"/>
      <c r="Y90" s="1"/>
      <c r="Z90" s="1"/>
      <c r="AA90" s="1"/>
      <c r="AB90" s="3"/>
      <c r="AC90" s="1"/>
      <c r="AD90" s="1"/>
    </row>
    <row r="91" spans="1:30" ht="12.75">
      <c r="A91">
        <f t="shared" si="14"/>
        <v>88</v>
      </c>
      <c r="D91" t="s">
        <v>30</v>
      </c>
      <c r="E91" s="23">
        <f t="shared" si="21"/>
        <v>89</v>
      </c>
      <c r="F91" s="1"/>
      <c r="G91" s="3"/>
      <c r="H91" s="1">
        <v>22548.2258</v>
      </c>
      <c r="I91" s="1">
        <f t="shared" si="24"/>
        <v>6872.699223840001</v>
      </c>
      <c r="J91" s="1">
        <f t="shared" si="15"/>
        <v>584272.2412</v>
      </c>
      <c r="K91" s="85">
        <f t="shared" si="16"/>
        <v>110.65762143939395</v>
      </c>
      <c r="L91" s="85">
        <f t="shared" si="23"/>
        <v>178.08617911775997</v>
      </c>
      <c r="M91" s="14">
        <v>0</v>
      </c>
      <c r="N91" s="1">
        <f t="shared" si="17"/>
        <v>0</v>
      </c>
      <c r="O91" s="1">
        <f t="shared" si="18"/>
        <v>0</v>
      </c>
      <c r="P91" s="15">
        <v>480</v>
      </c>
      <c r="Q91" s="1">
        <f t="shared" si="22"/>
        <v>480</v>
      </c>
      <c r="R91" s="1">
        <f t="shared" si="19"/>
        <v>481028.81706666696</v>
      </c>
      <c r="S91" s="1">
        <f t="shared" si="20"/>
        <v>913954.7524266671</v>
      </c>
      <c r="W91" s="2"/>
      <c r="Y91" s="1"/>
      <c r="Z91" s="1"/>
      <c r="AA91" s="1"/>
      <c r="AB91" s="3"/>
      <c r="AC91" s="1"/>
      <c r="AD91" s="1"/>
    </row>
    <row r="92" spans="1:30" ht="12.75">
      <c r="A92">
        <f t="shared" si="14"/>
        <v>89</v>
      </c>
      <c r="D92" t="s">
        <v>30</v>
      </c>
      <c r="E92" s="23">
        <f t="shared" si="21"/>
        <v>90</v>
      </c>
      <c r="F92" s="1">
        <v>5730</v>
      </c>
      <c r="G92" s="3">
        <f>5730/F92</f>
        <v>1</v>
      </c>
      <c r="H92" s="1">
        <v>1573.0264</v>
      </c>
      <c r="I92" s="1">
        <f t="shared" si="24"/>
        <v>479.45844672000004</v>
      </c>
      <c r="J92" s="1">
        <f>+J91+H92</f>
        <v>585845.2676</v>
      </c>
      <c r="K92" s="85">
        <f t="shared" si="16"/>
        <v>110.95554310606062</v>
      </c>
      <c r="L92" s="85">
        <f t="shared" si="23"/>
        <v>178.56563756447997</v>
      </c>
      <c r="M92" s="14">
        <v>0</v>
      </c>
      <c r="N92" s="1">
        <f>+(M91+M92)/2</f>
        <v>0</v>
      </c>
      <c r="O92" s="1">
        <f>1.2*N92*(J92-J91)/27</f>
        <v>0</v>
      </c>
      <c r="P92" s="15">
        <v>480</v>
      </c>
      <c r="Q92" s="1">
        <f>+(P91+P92)/2</f>
        <v>480</v>
      </c>
      <c r="R92" s="1">
        <f>1.2*Q92*(J92-J91)/27</f>
        <v>33557.896533332765</v>
      </c>
      <c r="S92" s="1">
        <f>1.9*(R92-O92)</f>
        <v>63760.00341333225</v>
      </c>
      <c r="W92" s="2"/>
      <c r="Y92" s="1"/>
      <c r="Z92" s="1"/>
      <c r="AA92" s="1"/>
      <c r="AB92" s="3"/>
      <c r="AC92" s="1"/>
      <c r="AD92" s="1"/>
    </row>
    <row r="93" spans="1:30" ht="12.75">
      <c r="A93">
        <f t="shared" si="14"/>
        <v>90</v>
      </c>
      <c r="D93" t="s">
        <v>30</v>
      </c>
      <c r="E93" s="23">
        <f t="shared" si="21"/>
        <v>91</v>
      </c>
      <c r="F93" s="1"/>
      <c r="G93" s="3"/>
      <c r="H93" s="1">
        <v>48972.5424</v>
      </c>
      <c r="I93" s="1">
        <f t="shared" si="24"/>
        <v>14926.83092352</v>
      </c>
      <c r="J93" s="1">
        <f t="shared" si="15"/>
        <v>634817.81</v>
      </c>
      <c r="K93" s="85">
        <f t="shared" si="16"/>
        <v>120.23064583333334</v>
      </c>
      <c r="L93" s="85">
        <f t="shared" si="23"/>
        <v>193.49246848799996</v>
      </c>
      <c r="M93" s="14">
        <v>0</v>
      </c>
      <c r="N93" s="1">
        <f t="shared" si="17"/>
        <v>0</v>
      </c>
      <c r="O93" s="1">
        <f t="shared" si="18"/>
        <v>0</v>
      </c>
      <c r="P93" s="15">
        <v>480</v>
      </c>
      <c r="Q93" s="1">
        <f t="shared" si="22"/>
        <v>480</v>
      </c>
      <c r="R93" s="1">
        <f t="shared" si="19"/>
        <v>1044747.5712000007</v>
      </c>
      <c r="S93" s="1">
        <f t="shared" si="20"/>
        <v>1985020.3852800012</v>
      </c>
      <c r="W93" s="2"/>
      <c r="Y93" s="1"/>
      <c r="Z93" s="1"/>
      <c r="AA93" s="1"/>
      <c r="AB93" s="3"/>
      <c r="AC93" s="1"/>
      <c r="AD93" s="1"/>
    </row>
    <row r="94" spans="1:30" ht="12.75">
      <c r="A94">
        <f t="shared" si="14"/>
        <v>91</v>
      </c>
      <c r="C94" s="1"/>
      <c r="D94" t="s">
        <v>30</v>
      </c>
      <c r="E94" s="23">
        <f t="shared" si="21"/>
        <v>92</v>
      </c>
      <c r="F94" s="1">
        <v>1910</v>
      </c>
      <c r="G94" s="3">
        <f>5730/F94</f>
        <v>3</v>
      </c>
      <c r="H94" s="1">
        <v>2372.7076</v>
      </c>
      <c r="I94" s="1">
        <f t="shared" si="24"/>
        <v>723.20127648</v>
      </c>
      <c r="J94" s="1">
        <f>+J93+H94</f>
        <v>637190.5176</v>
      </c>
      <c r="K94" s="85">
        <f t="shared" si="16"/>
        <v>120.68002227272727</v>
      </c>
      <c r="L94" s="85">
        <f t="shared" si="23"/>
        <v>194.21566976447997</v>
      </c>
      <c r="M94" s="14">
        <v>0</v>
      </c>
      <c r="N94" s="1">
        <f>+(M93+M94)/2</f>
        <v>0</v>
      </c>
      <c r="O94" s="1">
        <f>1.2*N94*(J94-J93)/27</f>
        <v>0</v>
      </c>
      <c r="P94" s="15">
        <v>480</v>
      </c>
      <c r="Q94" s="1">
        <f>+(P93+P94)/2</f>
        <v>480</v>
      </c>
      <c r="R94" s="1">
        <f>1.2*Q94*(J94-J93)/27</f>
        <v>50617.76213333259</v>
      </c>
      <c r="S94" s="1">
        <f>1.9*(R94-O94)</f>
        <v>96173.74805333192</v>
      </c>
      <c r="W94" s="2"/>
      <c r="Y94" s="1"/>
      <c r="Z94" s="1"/>
      <c r="AA94" s="1"/>
      <c r="AB94" s="3"/>
      <c r="AC94" s="1"/>
      <c r="AD94" s="1"/>
    </row>
    <row r="95" spans="1:30" ht="12.75">
      <c r="A95">
        <f t="shared" si="14"/>
        <v>92</v>
      </c>
      <c r="B95" s="1"/>
      <c r="C95" s="1"/>
      <c r="D95" t="s">
        <v>30</v>
      </c>
      <c r="E95" s="23">
        <f t="shared" si="21"/>
        <v>93</v>
      </c>
      <c r="H95" s="1">
        <v>648.9392</v>
      </c>
      <c r="I95" s="1">
        <f t="shared" si="24"/>
        <v>197.79666816000002</v>
      </c>
      <c r="J95" s="1">
        <f t="shared" si="15"/>
        <v>637839.4568</v>
      </c>
      <c r="K95" s="85">
        <f t="shared" si="16"/>
        <v>120.80292742424243</v>
      </c>
      <c r="L95" s="85">
        <f t="shared" si="23"/>
        <v>194.41346643263998</v>
      </c>
      <c r="M95" s="14">
        <v>0</v>
      </c>
      <c r="N95" s="1">
        <f t="shared" si="17"/>
        <v>0</v>
      </c>
      <c r="O95" s="1">
        <f t="shared" si="18"/>
        <v>0</v>
      </c>
      <c r="P95" s="15">
        <v>480</v>
      </c>
      <c r="Q95" s="1">
        <f t="shared" si="22"/>
        <v>480</v>
      </c>
      <c r="R95" s="1">
        <f t="shared" si="19"/>
        <v>13844.036266667148</v>
      </c>
      <c r="S95" s="1">
        <f t="shared" si="20"/>
        <v>26303.66890666758</v>
      </c>
      <c r="W95" s="2"/>
      <c r="Y95" s="1"/>
      <c r="Z95" s="1"/>
      <c r="AA95" s="1"/>
      <c r="AB95" s="3"/>
      <c r="AC95" s="1"/>
      <c r="AD95" s="1"/>
    </row>
    <row r="96" spans="1:30" ht="12.75">
      <c r="A96">
        <f t="shared" si="14"/>
        <v>93</v>
      </c>
      <c r="D96" t="s">
        <v>30</v>
      </c>
      <c r="E96" s="23">
        <f t="shared" si="21"/>
        <v>94</v>
      </c>
      <c r="F96" s="1">
        <v>2800</v>
      </c>
      <c r="G96" s="3">
        <f>5730/F96</f>
        <v>2.0464285714285713</v>
      </c>
      <c r="H96" s="1">
        <v>5792.9381</v>
      </c>
      <c r="I96" s="1">
        <f t="shared" si="24"/>
        <v>1765.6875328800002</v>
      </c>
      <c r="J96" s="1">
        <f t="shared" si="15"/>
        <v>643632.3949000001</v>
      </c>
      <c r="K96" s="85">
        <f t="shared" si="16"/>
        <v>121.90007479166668</v>
      </c>
      <c r="L96" s="85">
        <f t="shared" si="23"/>
        <v>196.17915396552</v>
      </c>
      <c r="M96" s="14">
        <v>0</v>
      </c>
      <c r="N96" s="1">
        <f t="shared" si="17"/>
        <v>0</v>
      </c>
      <c r="O96" s="1">
        <f t="shared" si="18"/>
        <v>0</v>
      </c>
      <c r="P96" s="15">
        <v>480</v>
      </c>
      <c r="Q96" s="1">
        <f t="shared" si="22"/>
        <v>480</v>
      </c>
      <c r="R96" s="1">
        <f t="shared" si="19"/>
        <v>123582.67946666728</v>
      </c>
      <c r="S96" s="1">
        <f t="shared" si="20"/>
        <v>234807.0909866678</v>
      </c>
      <c r="W96" s="2"/>
      <c r="Y96" s="1"/>
      <c r="Z96" s="1"/>
      <c r="AA96" s="1"/>
      <c r="AB96" s="3"/>
      <c r="AC96" s="1"/>
      <c r="AD96" s="1"/>
    </row>
    <row r="97" spans="1:30" ht="12.75">
      <c r="A97">
        <f t="shared" si="14"/>
        <v>94</v>
      </c>
      <c r="D97" s="1" t="s">
        <v>30</v>
      </c>
      <c r="E97" s="23">
        <f t="shared" si="21"/>
        <v>95</v>
      </c>
      <c r="F97" s="1"/>
      <c r="G97" s="3"/>
      <c r="H97" s="1">
        <v>5515.5793</v>
      </c>
      <c r="I97" s="1">
        <f t="shared" si="24"/>
        <v>1681.1485706400001</v>
      </c>
      <c r="J97" s="1">
        <f t="shared" si="15"/>
        <v>649147.9742</v>
      </c>
      <c r="K97" s="85">
        <f t="shared" si="16"/>
        <v>122.94469208333335</v>
      </c>
      <c r="L97" s="85">
        <f t="shared" si="23"/>
        <v>197.86030253616</v>
      </c>
      <c r="M97" s="14">
        <v>1</v>
      </c>
      <c r="N97" s="1">
        <f t="shared" si="17"/>
        <v>0.5</v>
      </c>
      <c r="O97" s="1">
        <f t="shared" si="18"/>
        <v>122.5684288888885</v>
      </c>
      <c r="P97" s="15">
        <v>350</v>
      </c>
      <c r="Q97" s="1">
        <f t="shared" si="22"/>
        <v>415</v>
      </c>
      <c r="R97" s="1">
        <f t="shared" si="19"/>
        <v>101731.79597777745</v>
      </c>
      <c r="S97" s="1">
        <f t="shared" si="20"/>
        <v>193057.53234288827</v>
      </c>
      <c r="W97" s="2"/>
      <c r="Y97" s="1"/>
      <c r="Z97" s="1"/>
      <c r="AA97" s="1"/>
      <c r="AB97" s="3"/>
      <c r="AC97" s="1"/>
      <c r="AD97" s="1"/>
    </row>
    <row r="98" spans="1:30" ht="12.75">
      <c r="A98">
        <f t="shared" si="14"/>
        <v>95</v>
      </c>
      <c r="D98" t="s">
        <v>30</v>
      </c>
      <c r="E98" s="23">
        <f t="shared" si="21"/>
        <v>96</v>
      </c>
      <c r="F98" s="1">
        <v>1910</v>
      </c>
      <c r="G98" s="3">
        <f>5730/F98</f>
        <v>3</v>
      </c>
      <c r="H98" s="1">
        <v>733.8727</v>
      </c>
      <c r="I98" s="1">
        <f t="shared" si="24"/>
        <v>223.68439896</v>
      </c>
      <c r="J98" s="1">
        <f t="shared" si="15"/>
        <v>649881.8469</v>
      </c>
      <c r="K98" s="85">
        <f t="shared" si="16"/>
        <v>123.08368312500001</v>
      </c>
      <c r="L98" s="85">
        <f t="shared" si="23"/>
        <v>198.08398693511998</v>
      </c>
      <c r="M98" s="14">
        <v>1</v>
      </c>
      <c r="N98" s="1">
        <f t="shared" si="17"/>
        <v>1</v>
      </c>
      <c r="O98" s="1">
        <f t="shared" si="18"/>
        <v>32.616564444442176</v>
      </c>
      <c r="P98" s="15">
        <v>390</v>
      </c>
      <c r="Q98" s="1">
        <f t="shared" si="22"/>
        <v>370</v>
      </c>
      <c r="R98" s="1">
        <f t="shared" si="19"/>
        <v>12068.128844443605</v>
      </c>
      <c r="S98" s="1">
        <f t="shared" si="20"/>
        <v>22867.473331998408</v>
      </c>
      <c r="W98" s="2"/>
      <c r="Y98" s="1"/>
      <c r="Z98" s="1"/>
      <c r="AA98" s="1"/>
      <c r="AB98" s="3"/>
      <c r="AC98" s="1"/>
      <c r="AD98" s="1"/>
    </row>
    <row r="99" spans="1:30" ht="12.75">
      <c r="A99">
        <f t="shared" si="14"/>
        <v>96</v>
      </c>
      <c r="D99" t="s">
        <v>30</v>
      </c>
      <c r="E99" s="23">
        <f t="shared" si="21"/>
        <v>97</v>
      </c>
      <c r="H99" s="1">
        <v>1331.6015</v>
      </c>
      <c r="I99" s="1">
        <f t="shared" si="24"/>
        <v>405.8721372</v>
      </c>
      <c r="J99" s="1">
        <f t="shared" si="15"/>
        <v>651213.4484</v>
      </c>
      <c r="K99" s="85">
        <f t="shared" si="16"/>
        <v>123.33588037878788</v>
      </c>
      <c r="L99" s="85">
        <f t="shared" si="23"/>
        <v>198.48985907231997</v>
      </c>
      <c r="M99" s="14">
        <v>1</v>
      </c>
      <c r="N99" s="1">
        <f t="shared" si="17"/>
        <v>1</v>
      </c>
      <c r="O99" s="1">
        <f t="shared" si="18"/>
        <v>59.18228888888843</v>
      </c>
      <c r="P99" s="15">
        <v>390</v>
      </c>
      <c r="Q99" s="1">
        <f t="shared" si="22"/>
        <v>390</v>
      </c>
      <c r="R99" s="1">
        <f t="shared" si="19"/>
        <v>23081.09266666649</v>
      </c>
      <c r="S99" s="1">
        <f t="shared" si="20"/>
        <v>43741.62971777744</v>
      </c>
      <c r="W99" s="2"/>
      <c r="Y99" s="1"/>
      <c r="Z99" s="1"/>
      <c r="AA99" s="1"/>
      <c r="AB99" s="3"/>
      <c r="AC99" s="1"/>
      <c r="AD99" s="1"/>
    </row>
    <row r="100" spans="1:30" ht="12.75">
      <c r="A100">
        <f t="shared" si="14"/>
        <v>97</v>
      </c>
      <c r="D100" s="1" t="s">
        <v>30</v>
      </c>
      <c r="E100" s="23">
        <f t="shared" si="21"/>
        <v>98</v>
      </c>
      <c r="F100" s="1">
        <v>2685</v>
      </c>
      <c r="G100" s="3">
        <f>5730/F100</f>
        <v>2.1340782122905027</v>
      </c>
      <c r="H100" s="1">
        <v>1341.2908</v>
      </c>
      <c r="I100" s="1">
        <f t="shared" si="24"/>
        <v>408.82543584</v>
      </c>
      <c r="J100" s="1">
        <f t="shared" si="15"/>
        <v>652554.7392</v>
      </c>
      <c r="K100" s="85">
        <f t="shared" si="16"/>
        <v>123.58991272727272</v>
      </c>
      <c r="L100" s="85">
        <f t="shared" si="23"/>
        <v>198.89868450815996</v>
      </c>
      <c r="M100" s="14">
        <v>1</v>
      </c>
      <c r="N100" s="1">
        <f t="shared" si="17"/>
        <v>1</v>
      </c>
      <c r="O100" s="1">
        <f t="shared" si="18"/>
        <v>59.61292444444261</v>
      </c>
      <c r="P100" s="15">
        <v>390</v>
      </c>
      <c r="Q100" s="1">
        <f t="shared" si="22"/>
        <v>390</v>
      </c>
      <c r="R100" s="1">
        <f t="shared" si="19"/>
        <v>23249.04053333262</v>
      </c>
      <c r="S100" s="1">
        <f t="shared" si="20"/>
        <v>44059.912456887534</v>
      </c>
      <c r="W100" s="2"/>
      <c r="Y100" s="1"/>
      <c r="Z100" s="1"/>
      <c r="AA100" s="1"/>
      <c r="AB100" s="3"/>
      <c r="AC100" s="1"/>
      <c r="AD100" s="1"/>
    </row>
    <row r="101" spans="1:30" ht="12.75">
      <c r="A101">
        <f t="shared" si="14"/>
        <v>98</v>
      </c>
      <c r="D101" t="s">
        <v>30</v>
      </c>
      <c r="E101" s="23">
        <f t="shared" si="21"/>
        <v>99</v>
      </c>
      <c r="F101" s="1"/>
      <c r="G101" s="3"/>
      <c r="H101" s="1">
        <v>641.0447</v>
      </c>
      <c r="I101" s="1">
        <f t="shared" si="24"/>
        <v>195.39042456</v>
      </c>
      <c r="J101" s="1">
        <f t="shared" si="15"/>
        <v>653195.7838999999</v>
      </c>
      <c r="K101" s="85">
        <f t="shared" si="16"/>
        <v>123.71132270833331</v>
      </c>
      <c r="L101" s="85">
        <f t="shared" si="23"/>
        <v>199.09407493271996</v>
      </c>
      <c r="M101" s="14">
        <v>1</v>
      </c>
      <c r="N101" s="1">
        <f t="shared" si="17"/>
        <v>1</v>
      </c>
      <c r="O101" s="1">
        <f t="shared" si="18"/>
        <v>28.490875555554197</v>
      </c>
      <c r="P101" s="15">
        <v>390</v>
      </c>
      <c r="Q101" s="1">
        <f t="shared" si="22"/>
        <v>390</v>
      </c>
      <c r="R101" s="1">
        <f t="shared" si="19"/>
        <v>11111.441466666138</v>
      </c>
      <c r="S101" s="1">
        <f t="shared" si="20"/>
        <v>21057.60612311011</v>
      </c>
      <c r="W101" s="2"/>
      <c r="Y101" s="1"/>
      <c r="Z101" s="1"/>
      <c r="AA101" s="1"/>
      <c r="AB101" s="3"/>
      <c r="AC101" s="1"/>
      <c r="AD101" s="1"/>
    </row>
    <row r="102" spans="1:30" ht="12.75">
      <c r="A102">
        <f t="shared" si="14"/>
        <v>99</v>
      </c>
      <c r="D102" t="s">
        <v>30</v>
      </c>
      <c r="E102" s="23">
        <f t="shared" si="21"/>
        <v>100</v>
      </c>
      <c r="F102" s="1">
        <v>2685</v>
      </c>
      <c r="G102" s="3">
        <f>5730/F102</f>
        <v>2.1340782122905027</v>
      </c>
      <c r="H102" s="1">
        <v>1599.7573</v>
      </c>
      <c r="I102" s="1">
        <f t="shared" si="24"/>
        <v>487.60602504</v>
      </c>
      <c r="J102" s="1">
        <f t="shared" si="15"/>
        <v>654795.5412</v>
      </c>
      <c r="K102" s="85">
        <f t="shared" si="16"/>
        <v>124.01430704545454</v>
      </c>
      <c r="L102" s="85">
        <f t="shared" si="23"/>
        <v>199.58168095775997</v>
      </c>
      <c r="M102" s="14">
        <v>1</v>
      </c>
      <c r="N102" s="1">
        <f t="shared" si="17"/>
        <v>1</v>
      </c>
      <c r="O102" s="1">
        <f t="shared" si="18"/>
        <v>71.10032444444693</v>
      </c>
      <c r="P102" s="15">
        <v>390</v>
      </c>
      <c r="Q102" s="1">
        <f t="shared" si="22"/>
        <v>390</v>
      </c>
      <c r="R102" s="1">
        <f t="shared" si="19"/>
        <v>27729.1265333343</v>
      </c>
      <c r="S102" s="1">
        <f t="shared" si="20"/>
        <v>52550.24979689072</v>
      </c>
      <c r="W102" s="2"/>
      <c r="Y102" s="1"/>
      <c r="Z102" s="1"/>
      <c r="AA102" s="1"/>
      <c r="AB102" s="3"/>
      <c r="AC102" s="1"/>
      <c r="AD102" s="1"/>
    </row>
    <row r="103" spans="1:30" ht="12.75">
      <c r="A103">
        <f t="shared" si="14"/>
        <v>100</v>
      </c>
      <c r="D103" t="s">
        <v>30</v>
      </c>
      <c r="E103" s="23">
        <f t="shared" si="21"/>
        <v>101</v>
      </c>
      <c r="F103" s="1"/>
      <c r="G103" s="3"/>
      <c r="H103" s="1">
        <v>1638.9396</v>
      </c>
      <c r="I103" s="1">
        <f t="shared" si="24"/>
        <v>499.54879008</v>
      </c>
      <c r="J103" s="1">
        <f t="shared" si="15"/>
        <v>656434.4808</v>
      </c>
      <c r="K103" s="85">
        <f t="shared" si="16"/>
        <v>124.32471227272728</v>
      </c>
      <c r="L103" s="85">
        <f t="shared" si="23"/>
        <v>200.08122974783998</v>
      </c>
      <c r="M103" s="14">
        <v>1</v>
      </c>
      <c r="N103" s="1">
        <f t="shared" si="17"/>
        <v>1</v>
      </c>
      <c r="O103" s="1">
        <f t="shared" si="18"/>
        <v>72.84176000000184</v>
      </c>
      <c r="P103" s="15">
        <v>390</v>
      </c>
      <c r="Q103" s="1">
        <f t="shared" si="22"/>
        <v>390</v>
      </c>
      <c r="R103" s="1">
        <f t="shared" si="19"/>
        <v>28408.28640000072</v>
      </c>
      <c r="S103" s="1">
        <f t="shared" si="20"/>
        <v>53837.344816001365</v>
      </c>
      <c r="W103" s="2"/>
      <c r="Y103" s="1"/>
      <c r="Z103" s="1"/>
      <c r="AA103" s="1"/>
      <c r="AB103" s="3"/>
      <c r="AC103" s="1"/>
      <c r="AD103" s="1"/>
    </row>
    <row r="104" spans="1:30" ht="12.75">
      <c r="A104">
        <f t="shared" si="14"/>
        <v>101</v>
      </c>
      <c r="D104" t="s">
        <v>30</v>
      </c>
      <c r="E104" s="23">
        <f t="shared" si="21"/>
        <v>102</v>
      </c>
      <c r="F104" s="1">
        <v>2865</v>
      </c>
      <c r="G104" s="3">
        <f>5730/F104</f>
        <v>2</v>
      </c>
      <c r="H104" s="1">
        <v>1976.3687</v>
      </c>
      <c r="I104" s="1">
        <f t="shared" si="24"/>
        <v>602.39717976</v>
      </c>
      <c r="J104" s="1">
        <f t="shared" si="15"/>
        <v>658410.8495</v>
      </c>
      <c r="K104" s="85">
        <f t="shared" si="16"/>
        <v>124.69902452651516</v>
      </c>
      <c r="L104" s="85">
        <f t="shared" si="23"/>
        <v>200.6836269276</v>
      </c>
      <c r="M104" s="14">
        <v>1</v>
      </c>
      <c r="N104" s="1">
        <f t="shared" si="17"/>
        <v>1</v>
      </c>
      <c r="O104" s="1">
        <f t="shared" si="18"/>
        <v>87.83860888888852</v>
      </c>
      <c r="P104" s="15">
        <v>390</v>
      </c>
      <c r="Q104" s="1">
        <f t="shared" si="22"/>
        <v>390</v>
      </c>
      <c r="R104" s="1">
        <f t="shared" si="19"/>
        <v>34257.05746666653</v>
      </c>
      <c r="S104" s="1">
        <f t="shared" si="20"/>
        <v>64921.51582977751</v>
      </c>
      <c r="W104" s="2"/>
      <c r="Y104" s="1"/>
      <c r="Z104" s="1"/>
      <c r="AA104" s="1"/>
      <c r="AB104" s="3"/>
      <c r="AC104" s="1"/>
      <c r="AD104" s="1"/>
    </row>
    <row r="105" spans="1:30" ht="12.75">
      <c r="A105">
        <f t="shared" si="14"/>
        <v>102</v>
      </c>
      <c r="B105" s="1"/>
      <c r="C105" s="1"/>
      <c r="D105" t="s">
        <v>30</v>
      </c>
      <c r="E105" s="23">
        <f t="shared" si="21"/>
        <v>103</v>
      </c>
      <c r="F105" s="1"/>
      <c r="G105" s="3"/>
      <c r="H105" s="1">
        <v>4429.7477</v>
      </c>
      <c r="I105" s="1">
        <f t="shared" si="24"/>
        <v>1350.18709896</v>
      </c>
      <c r="J105" s="1">
        <f t="shared" si="15"/>
        <v>662840.5972</v>
      </c>
      <c r="K105" s="85">
        <f t="shared" si="16"/>
        <v>125.53799189393939</v>
      </c>
      <c r="L105" s="85">
        <f t="shared" si="23"/>
        <v>202.03381402655998</v>
      </c>
      <c r="M105" s="14">
        <v>1</v>
      </c>
      <c r="N105" s="1">
        <f t="shared" si="17"/>
        <v>1</v>
      </c>
      <c r="O105" s="1">
        <f t="shared" si="18"/>
        <v>196.87767555555328</v>
      </c>
      <c r="P105" s="15">
        <v>390</v>
      </c>
      <c r="Q105" s="1">
        <f t="shared" si="22"/>
        <v>390</v>
      </c>
      <c r="R105" s="1">
        <f t="shared" si="19"/>
        <v>76782.29346666578</v>
      </c>
      <c r="S105" s="1">
        <f t="shared" si="20"/>
        <v>145512.2900031094</v>
      </c>
      <c r="W105" s="2"/>
      <c r="Y105" s="1"/>
      <c r="Z105" s="1"/>
      <c r="AA105" s="1"/>
      <c r="AB105" s="3"/>
      <c r="AC105" s="1"/>
      <c r="AD105" s="1"/>
    </row>
    <row r="106" spans="1:30" ht="12.75">
      <c r="A106">
        <f t="shared" si="14"/>
        <v>103</v>
      </c>
      <c r="D106" t="s">
        <v>30</v>
      </c>
      <c r="E106" s="23">
        <f t="shared" si="21"/>
        <v>104</v>
      </c>
      <c r="F106" s="1">
        <v>2865</v>
      </c>
      <c r="G106" s="3">
        <f>5730/F106</f>
        <v>2</v>
      </c>
      <c r="H106" s="1">
        <v>2433.9859</v>
      </c>
      <c r="I106" s="1">
        <f t="shared" si="24"/>
        <v>741.8789023200001</v>
      </c>
      <c r="J106" s="1">
        <f t="shared" si="15"/>
        <v>665274.5830999999</v>
      </c>
      <c r="K106" s="85">
        <f t="shared" si="16"/>
        <v>125.99897407196968</v>
      </c>
      <c r="L106" s="85">
        <f t="shared" si="23"/>
        <v>202.77569292887998</v>
      </c>
      <c r="M106" s="14">
        <v>1</v>
      </c>
      <c r="N106" s="1">
        <f t="shared" si="17"/>
        <v>1</v>
      </c>
      <c r="O106" s="1">
        <f t="shared" si="18"/>
        <v>108.17715111110981</v>
      </c>
      <c r="P106" s="15">
        <v>390</v>
      </c>
      <c r="Q106" s="1">
        <f t="shared" si="22"/>
        <v>390</v>
      </c>
      <c r="R106" s="1">
        <f t="shared" si="19"/>
        <v>42189.08893333282</v>
      </c>
      <c r="S106" s="1">
        <f t="shared" si="20"/>
        <v>79953.73238622125</v>
      </c>
      <c r="W106" s="2"/>
      <c r="Y106" s="1"/>
      <c r="Z106" s="1"/>
      <c r="AA106" s="1"/>
      <c r="AB106" s="3"/>
      <c r="AC106" s="1"/>
      <c r="AD106" s="1"/>
    </row>
    <row r="107" spans="1:30" ht="12.75">
      <c r="A107">
        <f t="shared" si="14"/>
        <v>104</v>
      </c>
      <c r="D107" t="s">
        <v>30</v>
      </c>
      <c r="E107" s="23">
        <f t="shared" si="21"/>
        <v>105</v>
      </c>
      <c r="F107" s="1"/>
      <c r="G107" s="3"/>
      <c r="H107" s="1">
        <v>1591.5769</v>
      </c>
      <c r="I107" s="1">
        <f t="shared" si="24"/>
        <v>485.11263912000004</v>
      </c>
      <c r="J107" s="1">
        <f t="shared" si="15"/>
        <v>666866.1599999999</v>
      </c>
      <c r="K107" s="85">
        <f t="shared" si="16"/>
        <v>126.30040909090907</v>
      </c>
      <c r="L107" s="85">
        <f t="shared" si="23"/>
        <v>203.26080556799997</v>
      </c>
      <c r="M107" s="14">
        <v>1</v>
      </c>
      <c r="N107" s="1">
        <f t="shared" si="17"/>
        <v>1</v>
      </c>
      <c r="O107" s="1">
        <f t="shared" si="18"/>
        <v>70.73675111111046</v>
      </c>
      <c r="P107" s="15">
        <v>390</v>
      </c>
      <c r="Q107" s="1">
        <f t="shared" si="22"/>
        <v>390</v>
      </c>
      <c r="R107" s="1">
        <f t="shared" si="19"/>
        <v>27587.33293333308</v>
      </c>
      <c r="S107" s="1">
        <f t="shared" si="20"/>
        <v>52281.53274622174</v>
      </c>
      <c r="W107" s="2"/>
      <c r="Y107" s="1"/>
      <c r="Z107" s="1"/>
      <c r="AA107" s="1"/>
      <c r="AB107" s="3"/>
      <c r="AC107" s="1"/>
      <c r="AD107" s="1"/>
    </row>
    <row r="108" spans="1:30" ht="12.75">
      <c r="A108">
        <f t="shared" si="14"/>
        <v>105</v>
      </c>
      <c r="B108" s="1"/>
      <c r="C108" s="1"/>
      <c r="D108" t="s">
        <v>30</v>
      </c>
      <c r="E108" s="23">
        <f t="shared" si="21"/>
        <v>106</v>
      </c>
      <c r="F108" s="1">
        <v>5730</v>
      </c>
      <c r="G108" s="3">
        <f>5730/F108</f>
        <v>1</v>
      </c>
      <c r="H108" s="1">
        <v>3445.1869</v>
      </c>
      <c r="I108" s="1">
        <f t="shared" si="24"/>
        <v>1050.0929671200001</v>
      </c>
      <c r="J108" s="1">
        <f t="shared" si="15"/>
        <v>670311.3468999999</v>
      </c>
      <c r="K108" s="85">
        <f t="shared" si="16"/>
        <v>126.95290660984847</v>
      </c>
      <c r="L108" s="85">
        <f t="shared" si="23"/>
        <v>204.31089853511997</v>
      </c>
      <c r="M108" s="14">
        <v>1</v>
      </c>
      <c r="N108" s="1">
        <f t="shared" si="17"/>
        <v>1</v>
      </c>
      <c r="O108" s="1">
        <f t="shared" si="18"/>
        <v>153.1194177777765</v>
      </c>
      <c r="P108" s="15">
        <v>390</v>
      </c>
      <c r="Q108" s="1">
        <f t="shared" si="22"/>
        <v>390</v>
      </c>
      <c r="R108" s="1">
        <f t="shared" si="19"/>
        <v>59716.57293333284</v>
      </c>
      <c r="S108" s="1">
        <f t="shared" si="20"/>
        <v>113170.56167955461</v>
      </c>
      <c r="W108" s="2"/>
      <c r="Y108" s="1"/>
      <c r="Z108" s="1"/>
      <c r="AA108" s="1"/>
      <c r="AB108" s="3"/>
      <c r="AC108" s="1"/>
      <c r="AD108" s="1"/>
    </row>
    <row r="109" spans="1:30" ht="12.75">
      <c r="A109">
        <f t="shared" si="14"/>
        <v>106</v>
      </c>
      <c r="D109" t="s">
        <v>30</v>
      </c>
      <c r="E109" s="23">
        <f t="shared" si="21"/>
        <v>107</v>
      </c>
      <c r="F109" s="1"/>
      <c r="G109" s="3"/>
      <c r="H109" s="1">
        <v>8597.205</v>
      </c>
      <c r="I109" s="1">
        <f t="shared" si="24"/>
        <v>2620.428084</v>
      </c>
      <c r="J109" s="1">
        <f t="shared" si="15"/>
        <v>678908.5518999998</v>
      </c>
      <c r="K109" s="85">
        <f t="shared" si="16"/>
        <v>128.58116513257573</v>
      </c>
      <c r="L109" s="85">
        <f t="shared" si="23"/>
        <v>206.93132661911997</v>
      </c>
      <c r="M109" s="14">
        <v>0</v>
      </c>
      <c r="N109" s="1">
        <f t="shared" si="17"/>
        <v>0.5</v>
      </c>
      <c r="O109" s="1">
        <f t="shared" si="18"/>
        <v>191.04899999999907</v>
      </c>
      <c r="P109" s="15">
        <v>480</v>
      </c>
      <c r="Q109" s="1">
        <f t="shared" si="22"/>
        <v>435</v>
      </c>
      <c r="R109" s="1">
        <f t="shared" si="19"/>
        <v>166212.6299999992</v>
      </c>
      <c r="S109" s="1">
        <f t="shared" si="20"/>
        <v>315441.00389999844</v>
      </c>
      <c r="W109" s="2"/>
      <c r="Y109" s="1"/>
      <c r="Z109" s="1"/>
      <c r="AA109" s="1"/>
      <c r="AB109" s="3"/>
      <c r="AC109" s="1"/>
      <c r="AD109" s="1"/>
    </row>
    <row r="110" spans="1:30" ht="12.75">
      <c r="A110">
        <f t="shared" si="14"/>
        <v>107</v>
      </c>
      <c r="D110" t="s">
        <v>30</v>
      </c>
      <c r="E110" s="23">
        <f t="shared" si="21"/>
        <v>108</v>
      </c>
      <c r="F110" s="1">
        <v>5280</v>
      </c>
      <c r="G110" s="3">
        <f>5730/F110</f>
        <v>1.0852272727272727</v>
      </c>
      <c r="H110" s="1">
        <v>3918.2514</v>
      </c>
      <c r="I110" s="1">
        <f t="shared" si="24"/>
        <v>1194.2830267200002</v>
      </c>
      <c r="J110" s="1">
        <f t="shared" si="15"/>
        <v>682826.8032999998</v>
      </c>
      <c r="K110" s="85">
        <f t="shared" si="16"/>
        <v>129.32325820075755</v>
      </c>
      <c r="L110" s="85">
        <f t="shared" si="23"/>
        <v>208.12560964583997</v>
      </c>
      <c r="M110" s="14">
        <v>0</v>
      </c>
      <c r="N110" s="1">
        <f t="shared" si="17"/>
        <v>0</v>
      </c>
      <c r="O110" s="1">
        <f t="shared" si="18"/>
        <v>0</v>
      </c>
      <c r="P110" s="15">
        <v>480</v>
      </c>
      <c r="Q110" s="1">
        <f t="shared" si="22"/>
        <v>480</v>
      </c>
      <c r="R110" s="1">
        <f t="shared" si="19"/>
        <v>83589.36319999893</v>
      </c>
      <c r="S110" s="1">
        <f t="shared" si="20"/>
        <v>158819.79007999797</v>
      </c>
      <c r="W110" s="2"/>
      <c r="Y110" s="1"/>
      <c r="Z110" s="1"/>
      <c r="AA110" s="1"/>
      <c r="AB110" s="3"/>
      <c r="AC110" s="1"/>
      <c r="AD110" s="1"/>
    </row>
    <row r="111" spans="1:30" ht="12.75">
      <c r="A111">
        <f t="shared" si="14"/>
        <v>108</v>
      </c>
      <c r="D111" t="s">
        <v>30</v>
      </c>
      <c r="E111" s="23">
        <f t="shared" si="21"/>
        <v>109</v>
      </c>
      <c r="F111" s="1"/>
      <c r="G111" s="3"/>
      <c r="H111" s="1">
        <v>1637.8261</v>
      </c>
      <c r="I111" s="1">
        <f t="shared" si="24"/>
        <v>499.20939528</v>
      </c>
      <c r="J111" s="1">
        <f t="shared" si="15"/>
        <v>684464.6293999997</v>
      </c>
      <c r="K111" s="85">
        <f t="shared" si="16"/>
        <v>129.63345253787875</v>
      </c>
      <c r="L111" s="85">
        <f t="shared" si="23"/>
        <v>208.62481904111996</v>
      </c>
      <c r="M111" s="14">
        <v>0</v>
      </c>
      <c r="N111" s="1">
        <f t="shared" si="17"/>
        <v>0</v>
      </c>
      <c r="O111" s="1">
        <f t="shared" si="18"/>
        <v>0</v>
      </c>
      <c r="P111" s="15">
        <v>480</v>
      </c>
      <c r="Q111" s="1">
        <f t="shared" si="22"/>
        <v>480</v>
      </c>
      <c r="R111" s="1">
        <f t="shared" si="19"/>
        <v>34940.290133332215</v>
      </c>
      <c r="S111" s="1">
        <f t="shared" si="20"/>
        <v>66386.5512533312</v>
      </c>
      <c r="W111" s="2"/>
      <c r="Y111" s="1"/>
      <c r="Z111" s="1"/>
      <c r="AA111" s="1"/>
      <c r="AB111" s="3"/>
      <c r="AC111" s="1"/>
      <c r="AD111" s="1"/>
    </row>
    <row r="112" spans="1:30" ht="12.75">
      <c r="A112">
        <f t="shared" si="14"/>
        <v>109</v>
      </c>
      <c r="D112" t="s">
        <v>30</v>
      </c>
      <c r="E112" s="23">
        <f t="shared" si="21"/>
        <v>110</v>
      </c>
      <c r="F112" s="1">
        <v>2865</v>
      </c>
      <c r="G112" s="3">
        <f>5730/F112</f>
        <v>2</v>
      </c>
      <c r="H112" s="1">
        <v>983.9908</v>
      </c>
      <c r="I112" s="1">
        <f t="shared" si="24"/>
        <v>299.92039584</v>
      </c>
      <c r="J112" s="1">
        <f t="shared" si="15"/>
        <v>685448.6201999998</v>
      </c>
      <c r="K112" s="85">
        <f t="shared" si="16"/>
        <v>129.81981443181814</v>
      </c>
      <c r="L112" s="85">
        <f t="shared" si="23"/>
        <v>208.92473943695995</v>
      </c>
      <c r="M112" s="14">
        <v>0</v>
      </c>
      <c r="N112" s="1">
        <f t="shared" si="17"/>
        <v>0</v>
      </c>
      <c r="O112" s="1">
        <f t="shared" si="18"/>
        <v>0</v>
      </c>
      <c r="P112" s="15">
        <v>480</v>
      </c>
      <c r="Q112" s="1">
        <f t="shared" si="22"/>
        <v>480</v>
      </c>
      <c r="R112" s="1">
        <f t="shared" si="19"/>
        <v>20991.803733333945</v>
      </c>
      <c r="S112" s="1">
        <f t="shared" si="20"/>
        <v>39884.427093334496</v>
      </c>
      <c r="W112" s="2"/>
      <c r="Y112" s="1"/>
      <c r="Z112" s="1"/>
      <c r="AA112" s="1"/>
      <c r="AB112" s="3"/>
      <c r="AC112" s="1"/>
      <c r="AD112" s="1"/>
    </row>
    <row r="113" spans="1:30" ht="12.75">
      <c r="A113">
        <f t="shared" si="14"/>
        <v>110</v>
      </c>
      <c r="D113" t="s">
        <v>30</v>
      </c>
      <c r="E113" s="23">
        <f t="shared" si="21"/>
        <v>111</v>
      </c>
      <c r="F113" s="1"/>
      <c r="G113" s="3"/>
      <c r="H113" s="1">
        <v>1012.1938</v>
      </c>
      <c r="I113" s="1">
        <f t="shared" si="24"/>
        <v>308.51667024</v>
      </c>
      <c r="J113" s="1">
        <f t="shared" si="15"/>
        <v>686460.8139999998</v>
      </c>
      <c r="K113" s="85">
        <f t="shared" si="16"/>
        <v>130.01151780303027</v>
      </c>
      <c r="L113" s="85">
        <f t="shared" si="23"/>
        <v>209.23325610719996</v>
      </c>
      <c r="M113" s="14">
        <v>0</v>
      </c>
      <c r="N113" s="1">
        <f t="shared" si="17"/>
        <v>0</v>
      </c>
      <c r="O113" s="1">
        <f t="shared" si="18"/>
        <v>0</v>
      </c>
      <c r="P113" s="15">
        <v>480</v>
      </c>
      <c r="Q113" s="1">
        <f t="shared" si="22"/>
        <v>480</v>
      </c>
      <c r="R113" s="1">
        <f t="shared" si="19"/>
        <v>21593.46773333351</v>
      </c>
      <c r="S113" s="1">
        <f t="shared" si="20"/>
        <v>41027.588693333666</v>
      </c>
      <c r="T113" s="1"/>
      <c r="U113" s="1"/>
      <c r="W113" s="2"/>
      <c r="Y113" s="1"/>
      <c r="Z113" s="1"/>
      <c r="AA113" s="1"/>
      <c r="AB113" s="3"/>
      <c r="AC113" s="1"/>
      <c r="AD113" s="1"/>
    </row>
    <row r="114" spans="1:30" ht="12.75">
      <c r="A114">
        <f t="shared" si="14"/>
        <v>111</v>
      </c>
      <c r="D114" t="s">
        <v>30</v>
      </c>
      <c r="E114" s="23">
        <f t="shared" si="21"/>
        <v>112</v>
      </c>
      <c r="F114" s="1">
        <v>1910</v>
      </c>
      <c r="G114" s="3">
        <f>5730/F114</f>
        <v>3</v>
      </c>
      <c r="H114" s="1">
        <v>1525.8694</v>
      </c>
      <c r="I114" s="1">
        <f t="shared" si="24"/>
        <v>465.08499312000004</v>
      </c>
      <c r="J114" s="1">
        <f t="shared" si="15"/>
        <v>687986.6833999997</v>
      </c>
      <c r="K114" s="85">
        <f t="shared" si="16"/>
        <v>130.30050821969692</v>
      </c>
      <c r="L114" s="85">
        <f t="shared" si="23"/>
        <v>209.69834110031996</v>
      </c>
      <c r="M114" s="14">
        <v>0</v>
      </c>
      <c r="N114" s="1">
        <f t="shared" si="17"/>
        <v>0</v>
      </c>
      <c r="O114" s="1">
        <f t="shared" si="18"/>
        <v>0</v>
      </c>
      <c r="P114" s="15">
        <v>480</v>
      </c>
      <c r="Q114" s="1">
        <f t="shared" si="22"/>
        <v>480</v>
      </c>
      <c r="R114" s="1">
        <f t="shared" si="19"/>
        <v>32551.880533332627</v>
      </c>
      <c r="S114" s="1">
        <f t="shared" si="20"/>
        <v>61848.57301333199</v>
      </c>
      <c r="T114" s="1"/>
      <c r="U114" s="1"/>
      <c r="V114" s="1"/>
      <c r="W114" s="2"/>
      <c r="Y114" s="1"/>
      <c r="Z114" s="1"/>
      <c r="AA114" s="1"/>
      <c r="AB114" s="3"/>
      <c r="AC114" s="1"/>
      <c r="AD114" s="1"/>
    </row>
    <row r="115" spans="1:30" ht="12.75">
      <c r="A115">
        <f t="shared" si="14"/>
        <v>112</v>
      </c>
      <c r="D115" t="s">
        <v>30</v>
      </c>
      <c r="E115" s="23">
        <f t="shared" si="21"/>
        <v>113</v>
      </c>
      <c r="F115" s="1"/>
      <c r="G115" s="3"/>
      <c r="H115" s="1">
        <v>1225.0047</v>
      </c>
      <c r="I115" s="1">
        <f t="shared" si="24"/>
        <v>373.38143256</v>
      </c>
      <c r="J115" s="1">
        <f t="shared" si="15"/>
        <v>689211.6880999998</v>
      </c>
      <c r="K115" s="85">
        <f t="shared" si="16"/>
        <v>130.53251668560603</v>
      </c>
      <c r="L115" s="85">
        <f t="shared" si="23"/>
        <v>210.07172253287996</v>
      </c>
      <c r="M115" s="14">
        <v>0</v>
      </c>
      <c r="N115" s="1">
        <f t="shared" si="17"/>
        <v>0</v>
      </c>
      <c r="O115" s="1">
        <f t="shared" si="18"/>
        <v>0</v>
      </c>
      <c r="P115" s="15">
        <v>480</v>
      </c>
      <c r="Q115" s="1">
        <f t="shared" si="22"/>
        <v>480</v>
      </c>
      <c r="R115" s="1">
        <f t="shared" si="19"/>
        <v>26133.433600001037</v>
      </c>
      <c r="S115" s="1">
        <f t="shared" si="20"/>
        <v>49653.523840001966</v>
      </c>
      <c r="W115" s="2"/>
      <c r="Y115" s="1"/>
      <c r="Z115" s="1"/>
      <c r="AA115" s="1"/>
      <c r="AB115" s="3"/>
      <c r="AD115" s="1"/>
    </row>
    <row r="116" spans="1:30" ht="12.75">
      <c r="A116">
        <f t="shared" si="14"/>
        <v>113</v>
      </c>
      <c r="D116" t="s">
        <v>30</v>
      </c>
      <c r="E116" s="23">
        <f t="shared" si="21"/>
        <v>114</v>
      </c>
      <c r="F116" s="1">
        <v>1910</v>
      </c>
      <c r="G116" s="3">
        <f>5730/F116</f>
        <v>3</v>
      </c>
      <c r="H116" s="1">
        <v>1348.367</v>
      </c>
      <c r="I116" s="1">
        <f t="shared" si="24"/>
        <v>410.9822616</v>
      </c>
      <c r="J116" s="1">
        <f t="shared" si="15"/>
        <v>690560.0550999998</v>
      </c>
      <c r="K116" s="85">
        <f t="shared" si="16"/>
        <v>130.7878892234848</v>
      </c>
      <c r="L116" s="85">
        <f t="shared" si="23"/>
        <v>210.48270479447996</v>
      </c>
      <c r="M116" s="14">
        <v>0</v>
      </c>
      <c r="N116" s="1">
        <f t="shared" si="17"/>
        <v>0</v>
      </c>
      <c r="O116" s="1">
        <f t="shared" si="18"/>
        <v>0</v>
      </c>
      <c r="P116" s="15">
        <v>480</v>
      </c>
      <c r="Q116" s="1">
        <f t="shared" si="22"/>
        <v>480</v>
      </c>
      <c r="R116" s="1">
        <f t="shared" si="19"/>
        <v>28765.162666666012</v>
      </c>
      <c r="S116" s="1">
        <f t="shared" si="20"/>
        <v>54653.80906666542</v>
      </c>
      <c r="W116" s="2"/>
      <c r="Y116" s="1"/>
      <c r="Z116" s="1"/>
      <c r="AA116" s="1"/>
      <c r="AB116" s="3"/>
      <c r="AD116" s="1"/>
    </row>
    <row r="117" spans="1:30" ht="12.75">
      <c r="A117">
        <f t="shared" si="14"/>
        <v>114</v>
      </c>
      <c r="D117" t="s">
        <v>30</v>
      </c>
      <c r="E117" s="23">
        <f t="shared" si="21"/>
        <v>115</v>
      </c>
      <c r="F117" s="1"/>
      <c r="G117" s="3"/>
      <c r="H117" s="1">
        <v>657.6169</v>
      </c>
      <c r="I117" s="1">
        <f t="shared" si="24"/>
        <v>200.44163112</v>
      </c>
      <c r="J117" s="1">
        <f t="shared" si="15"/>
        <v>691217.6719999998</v>
      </c>
      <c r="K117" s="85">
        <f t="shared" si="16"/>
        <v>130.91243787878784</v>
      </c>
      <c r="L117" s="85">
        <f t="shared" si="23"/>
        <v>210.68314642559994</v>
      </c>
      <c r="M117" s="14">
        <v>0</v>
      </c>
      <c r="N117" s="1">
        <f t="shared" si="17"/>
        <v>0</v>
      </c>
      <c r="O117" s="1">
        <f t="shared" si="18"/>
        <v>0</v>
      </c>
      <c r="P117" s="15">
        <v>480</v>
      </c>
      <c r="Q117" s="1">
        <f t="shared" si="22"/>
        <v>480</v>
      </c>
      <c r="R117" s="1">
        <f t="shared" si="19"/>
        <v>14029.160533333818</v>
      </c>
      <c r="S117" s="1">
        <f t="shared" si="20"/>
        <v>26655.405013334253</v>
      </c>
      <c r="W117" s="2"/>
      <c r="Y117" s="1"/>
      <c r="Z117" s="1"/>
      <c r="AA117" s="1"/>
      <c r="AB117" s="3"/>
      <c r="AC117" s="1"/>
      <c r="AD117" s="1"/>
    </row>
    <row r="118" spans="1:30" ht="12.75">
      <c r="A118">
        <f t="shared" si="14"/>
        <v>115</v>
      </c>
      <c r="D118" t="s">
        <v>30</v>
      </c>
      <c r="E118" s="23">
        <f t="shared" si="21"/>
        <v>116</v>
      </c>
      <c r="F118" s="1">
        <v>2865</v>
      </c>
      <c r="G118" s="3">
        <f>5730/F118</f>
        <v>2</v>
      </c>
      <c r="H118" s="1">
        <v>1532.2138</v>
      </c>
      <c r="I118" s="1">
        <f t="shared" si="24"/>
        <v>467.01876624000005</v>
      </c>
      <c r="J118" s="1">
        <f t="shared" si="15"/>
        <v>692749.8857999998</v>
      </c>
      <c r="K118" s="85">
        <f t="shared" si="16"/>
        <v>131.2026298863636</v>
      </c>
      <c r="L118" s="85">
        <f t="shared" si="23"/>
        <v>211.15016519183993</v>
      </c>
      <c r="M118" s="14">
        <v>0</v>
      </c>
      <c r="N118" s="1">
        <f t="shared" si="17"/>
        <v>0</v>
      </c>
      <c r="O118" s="1">
        <f t="shared" si="18"/>
        <v>0</v>
      </c>
      <c r="P118" s="15">
        <v>480</v>
      </c>
      <c r="Q118" s="1">
        <f t="shared" si="22"/>
        <v>480</v>
      </c>
      <c r="R118" s="1">
        <f t="shared" si="19"/>
        <v>32687.227733333904</v>
      </c>
      <c r="S118" s="1">
        <f t="shared" si="20"/>
        <v>62105.732693334416</v>
      </c>
      <c r="W118" s="2"/>
      <c r="Y118" s="1"/>
      <c r="Z118" s="1"/>
      <c r="AA118" s="1"/>
      <c r="AB118" s="3"/>
      <c r="AC118" s="1"/>
      <c r="AD118" s="1"/>
    </row>
    <row r="119" spans="1:30" ht="12.75">
      <c r="A119">
        <f t="shared" si="14"/>
        <v>116</v>
      </c>
      <c r="D119" s="1" t="s">
        <v>30</v>
      </c>
      <c r="E119" s="23">
        <f t="shared" si="21"/>
        <v>117</v>
      </c>
      <c r="F119" s="1"/>
      <c r="G119" s="3"/>
      <c r="H119" s="1">
        <v>4314.6571</v>
      </c>
      <c r="I119" s="1">
        <f t="shared" si="24"/>
        <v>1315.1074840800002</v>
      </c>
      <c r="J119" s="1">
        <f t="shared" si="15"/>
        <v>697064.5428999998</v>
      </c>
      <c r="K119" s="85">
        <f t="shared" si="16"/>
        <v>132.01979979166663</v>
      </c>
      <c r="L119" s="85">
        <f t="shared" si="23"/>
        <v>212.46527267591992</v>
      </c>
      <c r="M119" s="14">
        <v>50</v>
      </c>
      <c r="N119" s="1">
        <f t="shared" si="17"/>
        <v>25</v>
      </c>
      <c r="O119" s="1">
        <f t="shared" si="18"/>
        <v>4794.063444444392</v>
      </c>
      <c r="P119" s="15">
        <v>300</v>
      </c>
      <c r="Q119" s="1">
        <f t="shared" si="22"/>
        <v>390</v>
      </c>
      <c r="R119" s="1">
        <f t="shared" si="19"/>
        <v>74787.38973333251</v>
      </c>
      <c r="S119" s="1">
        <f t="shared" si="20"/>
        <v>132987.31994888745</v>
      </c>
      <c r="W119" s="2"/>
      <c r="Y119" s="1"/>
      <c r="Z119" s="1"/>
      <c r="AA119" s="1"/>
      <c r="AB119" s="3"/>
      <c r="AC119" s="1"/>
      <c r="AD119" s="1"/>
    </row>
    <row r="120" spans="1:30" ht="12.75">
      <c r="A120">
        <f t="shared" si="14"/>
        <v>117</v>
      </c>
      <c r="D120" t="s">
        <v>30</v>
      </c>
      <c r="E120" s="23">
        <f t="shared" si="21"/>
        <v>118</v>
      </c>
      <c r="F120" s="1">
        <v>1910</v>
      </c>
      <c r="G120" s="3">
        <f>5730/F120</f>
        <v>3</v>
      </c>
      <c r="H120" s="1">
        <v>2473.1436</v>
      </c>
      <c r="I120" s="1">
        <f t="shared" si="24"/>
        <v>753.81416928</v>
      </c>
      <c r="J120" s="1">
        <f>+J119+H120</f>
        <v>699537.6864999997</v>
      </c>
      <c r="K120" s="85">
        <f t="shared" si="16"/>
        <v>132.48819820075752</v>
      </c>
      <c r="L120" s="85">
        <f t="shared" si="23"/>
        <v>213.2190868451999</v>
      </c>
      <c r="M120" s="14">
        <v>170</v>
      </c>
      <c r="N120" s="1">
        <f>+(M119+M120)/2</f>
        <v>110</v>
      </c>
      <c r="O120" s="1">
        <f>1.2*N120*(J120-J119)/27</f>
        <v>12090.924266666432</v>
      </c>
      <c r="P120" s="15">
        <v>126</v>
      </c>
      <c r="Q120" s="1">
        <f>+(P119+P120)/2</f>
        <v>213</v>
      </c>
      <c r="R120" s="1">
        <f>1.2*Q120*(J120-J119)/27</f>
        <v>23412.426079999546</v>
      </c>
      <c r="S120" s="1">
        <f>1.9*(R120-O120)</f>
        <v>21510.853445332916</v>
      </c>
      <c r="W120" s="2"/>
      <c r="Y120" s="1"/>
      <c r="Z120" s="1"/>
      <c r="AA120" s="1"/>
      <c r="AB120" s="3"/>
      <c r="AC120" s="1"/>
      <c r="AD120" s="1"/>
    </row>
    <row r="121" spans="1:30" ht="12.75">
      <c r="A121">
        <f t="shared" si="14"/>
        <v>118</v>
      </c>
      <c r="D121" t="s">
        <v>30</v>
      </c>
      <c r="E121" s="23">
        <f t="shared" si="21"/>
        <v>119</v>
      </c>
      <c r="F121" s="1"/>
      <c r="G121" s="3"/>
      <c r="H121" s="1">
        <v>1339.8567</v>
      </c>
      <c r="I121" s="1">
        <f t="shared" si="24"/>
        <v>408.38832216000003</v>
      </c>
      <c r="J121" s="1">
        <f t="shared" si="15"/>
        <v>700877.5431999997</v>
      </c>
      <c r="K121" s="85">
        <f t="shared" si="16"/>
        <v>132.7419589393939</v>
      </c>
      <c r="L121" s="85">
        <f t="shared" si="23"/>
        <v>213.6274751673599</v>
      </c>
      <c r="M121" s="14">
        <v>170</v>
      </c>
      <c r="N121" s="1">
        <f t="shared" si="17"/>
        <v>170</v>
      </c>
      <c r="O121" s="1">
        <f t="shared" si="18"/>
        <v>10123.361733333362</v>
      </c>
      <c r="P121" s="15">
        <v>126</v>
      </c>
      <c r="Q121" s="1">
        <f t="shared" si="22"/>
        <v>126</v>
      </c>
      <c r="R121" s="1">
        <f t="shared" si="19"/>
        <v>7503.1975200000215</v>
      </c>
      <c r="S121" s="1">
        <f t="shared" si="20"/>
        <v>-4978.312005333347</v>
      </c>
      <c r="W121" s="2"/>
      <c r="Y121" s="1"/>
      <c r="Z121" s="1"/>
      <c r="AA121" s="1"/>
      <c r="AB121" s="3"/>
      <c r="AC121" s="1"/>
      <c r="AD121" s="1"/>
    </row>
    <row r="122" spans="1:30" ht="12.75">
      <c r="A122">
        <f t="shared" si="14"/>
        <v>119</v>
      </c>
      <c r="D122" t="s">
        <v>30</v>
      </c>
      <c r="E122" s="23">
        <f t="shared" si="21"/>
        <v>120</v>
      </c>
      <c r="F122" s="1">
        <v>1910</v>
      </c>
      <c r="G122" s="3">
        <f>5730/F122</f>
        <v>3</v>
      </c>
      <c r="H122" s="1">
        <v>2188.7338</v>
      </c>
      <c r="I122" s="1">
        <f t="shared" si="24"/>
        <v>667.12606224</v>
      </c>
      <c r="J122" s="1">
        <f t="shared" si="15"/>
        <v>703066.2769999998</v>
      </c>
      <c r="K122" s="85">
        <f t="shared" si="16"/>
        <v>133.15649185606057</v>
      </c>
      <c r="L122" s="85">
        <f t="shared" si="23"/>
        <v>214.2946012295999</v>
      </c>
      <c r="M122" s="14">
        <v>170</v>
      </c>
      <c r="N122" s="1">
        <f t="shared" si="17"/>
        <v>170</v>
      </c>
      <c r="O122" s="1">
        <f t="shared" si="18"/>
        <v>16537.099822222564</v>
      </c>
      <c r="P122" s="15">
        <v>126</v>
      </c>
      <c r="Q122" s="1">
        <f t="shared" si="22"/>
        <v>126</v>
      </c>
      <c r="R122" s="1">
        <f t="shared" si="19"/>
        <v>12256.909280000255</v>
      </c>
      <c r="S122" s="1">
        <f t="shared" si="20"/>
        <v>-8132.362030222388</v>
      </c>
      <c r="W122" s="2"/>
      <c r="Y122" s="1"/>
      <c r="Z122" s="1"/>
      <c r="AA122" s="1"/>
      <c r="AB122" s="3"/>
      <c r="AC122" s="1"/>
      <c r="AD122" s="1"/>
    </row>
    <row r="123" spans="1:30" ht="12.75">
      <c r="A123">
        <f t="shared" si="14"/>
        <v>120</v>
      </c>
      <c r="D123" t="s">
        <v>30</v>
      </c>
      <c r="E123" s="23">
        <f t="shared" si="21"/>
        <v>121</v>
      </c>
      <c r="F123" s="1"/>
      <c r="G123" s="3"/>
      <c r="H123" s="1">
        <v>890.7479</v>
      </c>
      <c r="I123" s="1">
        <f t="shared" si="24"/>
        <v>271.49995992</v>
      </c>
      <c r="J123" s="1">
        <f t="shared" si="15"/>
        <v>703957.0248999997</v>
      </c>
      <c r="K123" s="85">
        <f t="shared" si="16"/>
        <v>133.32519410984844</v>
      </c>
      <c r="L123" s="85">
        <f t="shared" si="23"/>
        <v>214.56610118951988</v>
      </c>
      <c r="M123" s="14">
        <v>170</v>
      </c>
      <c r="N123" s="1">
        <f t="shared" si="17"/>
        <v>170</v>
      </c>
      <c r="O123" s="1">
        <f t="shared" si="18"/>
        <v>6730.095244444131</v>
      </c>
      <c r="P123" s="15">
        <v>126</v>
      </c>
      <c r="Q123" s="1">
        <f t="shared" si="22"/>
        <v>126</v>
      </c>
      <c r="R123" s="1">
        <f t="shared" si="19"/>
        <v>4988.188239999767</v>
      </c>
      <c r="S123" s="1">
        <f t="shared" si="20"/>
        <v>-3309.623308444292</v>
      </c>
      <c r="W123" s="2"/>
      <c r="Y123" s="1"/>
      <c r="Z123" s="1"/>
      <c r="AA123" s="1"/>
      <c r="AB123" s="3"/>
      <c r="AC123" s="1"/>
      <c r="AD123" s="1"/>
    </row>
    <row r="124" spans="1:30" ht="12.75">
      <c r="A124">
        <f t="shared" si="14"/>
        <v>121</v>
      </c>
      <c r="D124" t="s">
        <v>30</v>
      </c>
      <c r="E124" s="23">
        <f t="shared" si="21"/>
        <v>122</v>
      </c>
      <c r="F124" s="1">
        <v>1910</v>
      </c>
      <c r="G124" s="3">
        <f>5730/F124</f>
        <v>3</v>
      </c>
      <c r="H124" s="1">
        <v>1447.2875</v>
      </c>
      <c r="I124" s="1">
        <f t="shared" si="24"/>
        <v>441.13322999999997</v>
      </c>
      <c r="J124" s="1">
        <f t="shared" si="15"/>
        <v>705404.3123999997</v>
      </c>
      <c r="K124" s="85">
        <f t="shared" si="16"/>
        <v>133.59930159090902</v>
      </c>
      <c r="L124" s="85">
        <f t="shared" si="23"/>
        <v>215.00723441951988</v>
      </c>
      <c r="M124" s="14">
        <v>1075</v>
      </c>
      <c r="N124" s="1">
        <f t="shared" si="17"/>
        <v>622.5</v>
      </c>
      <c r="O124" s="1">
        <f t="shared" si="18"/>
        <v>40041.62083333269</v>
      </c>
      <c r="P124" s="15">
        <v>127</v>
      </c>
      <c r="Q124" s="1">
        <f t="shared" si="22"/>
        <v>126.5</v>
      </c>
      <c r="R124" s="1">
        <f t="shared" si="19"/>
        <v>8136.971944444313</v>
      </c>
      <c r="S124" s="1">
        <f t="shared" si="20"/>
        <v>-60618.83288888791</v>
      </c>
      <c r="W124" s="2"/>
      <c r="Y124" s="1"/>
      <c r="Z124" s="1"/>
      <c r="AA124" s="1"/>
      <c r="AB124" s="3"/>
      <c r="AC124" s="1"/>
      <c r="AD124" s="1"/>
    </row>
    <row r="125" spans="1:30" ht="12.75">
      <c r="A125">
        <f t="shared" si="14"/>
        <v>122</v>
      </c>
      <c r="D125" t="s">
        <v>30</v>
      </c>
      <c r="E125" s="23">
        <f t="shared" si="21"/>
        <v>123</v>
      </c>
      <c r="F125" s="1"/>
      <c r="G125" s="3"/>
      <c r="H125" s="1">
        <v>770.0434</v>
      </c>
      <c r="I125" s="1">
        <f t="shared" si="24"/>
        <v>234.70922832000002</v>
      </c>
      <c r="J125" s="1">
        <f aca="true" t="shared" si="25" ref="J125:J175">+J124+H125</f>
        <v>706174.3557999997</v>
      </c>
      <c r="K125" s="85">
        <f aca="true" t="shared" si="26" ref="K125:K176">+J125/5280</f>
        <v>133.74514314393934</v>
      </c>
      <c r="L125" s="85">
        <f t="shared" si="23"/>
        <v>215.2419436478399</v>
      </c>
      <c r="M125" s="14">
        <v>1075</v>
      </c>
      <c r="N125" s="1">
        <f aca="true" t="shared" si="27" ref="N125:N175">+(M124+M125)/2</f>
        <v>1075</v>
      </c>
      <c r="O125" s="1">
        <f aca="true" t="shared" si="28" ref="O125:O175">1.2*N125*(J125-J124)/27</f>
        <v>36790.96244444282</v>
      </c>
      <c r="P125" s="15">
        <v>127</v>
      </c>
      <c r="Q125" s="1">
        <f t="shared" si="22"/>
        <v>127</v>
      </c>
      <c r="R125" s="1">
        <f aca="true" t="shared" si="29" ref="R125:R175">1.2*Q125*(J125-J124)/27</f>
        <v>4346.467191110919</v>
      </c>
      <c r="S125" s="1">
        <f aca="true" t="shared" si="30" ref="S125:S175">1.9*(R125-O125)</f>
        <v>-61644.54098133061</v>
      </c>
      <c r="W125" s="2"/>
      <c r="Y125" s="1"/>
      <c r="Z125" s="1"/>
      <c r="AA125" s="1"/>
      <c r="AB125" s="3"/>
      <c r="AC125" s="1"/>
      <c r="AD125" s="1"/>
    </row>
    <row r="126" spans="1:30" ht="12.75">
      <c r="A126">
        <f t="shared" si="14"/>
        <v>123</v>
      </c>
      <c r="D126" t="s">
        <v>30</v>
      </c>
      <c r="E126" s="23">
        <f t="shared" si="21"/>
        <v>124</v>
      </c>
      <c r="F126" s="1">
        <v>1910</v>
      </c>
      <c r="G126" s="3">
        <f>5730/F126</f>
        <v>3</v>
      </c>
      <c r="H126" s="1">
        <v>1543.7538</v>
      </c>
      <c r="I126" s="1">
        <f t="shared" si="24"/>
        <v>470.53615824</v>
      </c>
      <c r="J126" s="1">
        <f t="shared" si="25"/>
        <v>707718.1095999996</v>
      </c>
      <c r="K126" s="85">
        <f t="shared" si="26"/>
        <v>134.0375207575757</v>
      </c>
      <c r="L126" s="85">
        <f t="shared" si="23"/>
        <v>215.7124798060799</v>
      </c>
      <c r="M126" s="14">
        <v>1075</v>
      </c>
      <c r="N126" s="1">
        <f t="shared" si="27"/>
        <v>1075</v>
      </c>
      <c r="O126" s="1">
        <f t="shared" si="28"/>
        <v>73757.1259999975</v>
      </c>
      <c r="P126" s="15">
        <v>127</v>
      </c>
      <c r="Q126" s="1">
        <f aca="true" t="shared" si="31" ref="Q126:Q175">+(P125+P126)/2</f>
        <v>127</v>
      </c>
      <c r="R126" s="1">
        <f t="shared" si="29"/>
        <v>8713.632559999705</v>
      </c>
      <c r="S126" s="1">
        <f t="shared" si="30"/>
        <v>-123582.6375359958</v>
      </c>
      <c r="W126" s="2"/>
      <c r="Y126" s="1"/>
      <c r="Z126" s="1"/>
      <c r="AA126" s="1"/>
      <c r="AB126" s="3"/>
      <c r="AC126" s="1"/>
      <c r="AD126" s="1"/>
    </row>
    <row r="127" spans="1:30" ht="12.75">
      <c r="A127">
        <f t="shared" si="14"/>
        <v>124</v>
      </c>
      <c r="C127" s="1"/>
      <c r="D127" t="s">
        <v>30</v>
      </c>
      <c r="E127" s="23">
        <f t="shared" si="21"/>
        <v>125</v>
      </c>
      <c r="F127" s="1"/>
      <c r="G127" s="3"/>
      <c r="H127" s="1">
        <v>2673.6476</v>
      </c>
      <c r="I127" s="1">
        <f t="shared" si="24"/>
        <v>814.92778848</v>
      </c>
      <c r="J127" s="1">
        <f t="shared" si="25"/>
        <v>710391.7571999996</v>
      </c>
      <c r="K127" s="85">
        <f t="shared" si="26"/>
        <v>134.54389340909083</v>
      </c>
      <c r="L127" s="85">
        <f t="shared" si="23"/>
        <v>216.5274075945599</v>
      </c>
      <c r="M127" s="14">
        <v>1075</v>
      </c>
      <c r="N127" s="1">
        <f t="shared" si="27"/>
        <v>1075</v>
      </c>
      <c r="O127" s="1">
        <f t="shared" si="28"/>
        <v>127740.94088889012</v>
      </c>
      <c r="P127" s="15">
        <v>127</v>
      </c>
      <c r="Q127" s="1">
        <f t="shared" si="31"/>
        <v>127</v>
      </c>
      <c r="R127" s="1">
        <f t="shared" si="29"/>
        <v>15091.255342222368</v>
      </c>
      <c r="S127" s="1">
        <f t="shared" si="30"/>
        <v>-214034.4025386687</v>
      </c>
      <c r="W127" s="2"/>
      <c r="Y127" s="1"/>
      <c r="Z127" s="1"/>
      <c r="AA127" s="1"/>
      <c r="AB127" s="3"/>
      <c r="AC127" s="1"/>
      <c r="AD127" s="1"/>
    </row>
    <row r="128" spans="1:30" ht="12.75">
      <c r="A128">
        <f t="shared" si="14"/>
        <v>125</v>
      </c>
      <c r="B128" s="1"/>
      <c r="C128" s="1"/>
      <c r="D128" t="s">
        <v>30</v>
      </c>
      <c r="E128" s="23">
        <f t="shared" si="21"/>
        <v>126</v>
      </c>
      <c r="F128" s="1">
        <v>1910</v>
      </c>
      <c r="G128" s="3">
        <f>5730/F128</f>
        <v>3</v>
      </c>
      <c r="H128" s="1">
        <v>1464.3448</v>
      </c>
      <c r="I128" s="1">
        <f t="shared" si="24"/>
        <v>446.33229504</v>
      </c>
      <c r="J128" s="1">
        <f t="shared" si="25"/>
        <v>711856.1019999996</v>
      </c>
      <c r="K128" s="85">
        <f t="shared" si="26"/>
        <v>134.82123143939387</v>
      </c>
      <c r="L128" s="85">
        <f t="shared" si="23"/>
        <v>216.9737398895999</v>
      </c>
      <c r="M128" s="14">
        <v>1075</v>
      </c>
      <c r="N128" s="1">
        <f t="shared" si="27"/>
        <v>1075</v>
      </c>
      <c r="O128" s="1">
        <f t="shared" si="28"/>
        <v>69963.14044444266</v>
      </c>
      <c r="P128" s="15">
        <v>127</v>
      </c>
      <c r="Q128" s="1">
        <f t="shared" si="31"/>
        <v>127</v>
      </c>
      <c r="R128" s="1">
        <f t="shared" si="29"/>
        <v>8265.4128711109</v>
      </c>
      <c r="S128" s="1">
        <f t="shared" si="30"/>
        <v>-117225.68238933034</v>
      </c>
      <c r="W128" s="2"/>
      <c r="Y128" s="1"/>
      <c r="Z128" s="1"/>
      <c r="AA128" s="1"/>
      <c r="AB128" s="3"/>
      <c r="AC128" s="1"/>
      <c r="AD128" s="1"/>
    </row>
    <row r="129" spans="1:30" ht="12.75">
      <c r="A129">
        <f t="shared" si="14"/>
        <v>126</v>
      </c>
      <c r="D129" t="s">
        <v>30</v>
      </c>
      <c r="E129" s="23">
        <f t="shared" si="21"/>
        <v>127</v>
      </c>
      <c r="F129" s="1"/>
      <c r="G129" s="3"/>
      <c r="H129" s="1">
        <v>1569.9579</v>
      </c>
      <c r="I129" s="1">
        <f t="shared" si="24"/>
        <v>478.52316792000005</v>
      </c>
      <c r="J129" s="1">
        <f t="shared" si="25"/>
        <v>713426.0598999996</v>
      </c>
      <c r="K129" s="85">
        <f t="shared" si="26"/>
        <v>135.1185719507575</v>
      </c>
      <c r="L129" s="85">
        <f t="shared" si="23"/>
        <v>217.4522630575199</v>
      </c>
      <c r="M129" s="14">
        <v>0</v>
      </c>
      <c r="N129" s="1">
        <f t="shared" si="27"/>
        <v>537.5</v>
      </c>
      <c r="O129" s="1">
        <f t="shared" si="28"/>
        <v>37504.54983333423</v>
      </c>
      <c r="P129" s="15">
        <v>480</v>
      </c>
      <c r="Q129" s="1">
        <f t="shared" si="31"/>
        <v>303.5</v>
      </c>
      <c r="R129" s="1">
        <f t="shared" si="29"/>
        <v>21176.987673333842</v>
      </c>
      <c r="S129" s="1">
        <f t="shared" si="30"/>
        <v>-31022.36810400074</v>
      </c>
      <c r="W129" s="2"/>
      <c r="Y129" s="1"/>
      <c r="Z129" s="1"/>
      <c r="AA129" s="1"/>
      <c r="AB129" s="3"/>
      <c r="AC129" s="1"/>
      <c r="AD129" s="1"/>
    </row>
    <row r="130" spans="1:30" ht="12.75">
      <c r="A130">
        <f t="shared" si="14"/>
        <v>127</v>
      </c>
      <c r="D130" t="s">
        <v>30</v>
      </c>
      <c r="E130" s="23">
        <f t="shared" si="21"/>
        <v>128</v>
      </c>
      <c r="F130" s="1">
        <v>5730</v>
      </c>
      <c r="G130" s="3">
        <f>5730/F130</f>
        <v>1</v>
      </c>
      <c r="H130" s="1">
        <v>8914.0301</v>
      </c>
      <c r="I130" s="1">
        <f t="shared" si="24"/>
        <v>2716.99637448</v>
      </c>
      <c r="J130" s="1">
        <f t="shared" si="25"/>
        <v>722340.0899999996</v>
      </c>
      <c r="K130" s="85">
        <f t="shared" si="26"/>
        <v>136.80683522727264</v>
      </c>
      <c r="L130" s="85">
        <f t="shared" si="23"/>
        <v>220.1692594319999</v>
      </c>
      <c r="M130" s="14">
        <v>0</v>
      </c>
      <c r="N130" s="1">
        <f t="shared" si="27"/>
        <v>0</v>
      </c>
      <c r="O130" s="1">
        <f t="shared" si="28"/>
        <v>0</v>
      </c>
      <c r="P130" s="15">
        <v>480</v>
      </c>
      <c r="Q130" s="1">
        <f t="shared" si="31"/>
        <v>480</v>
      </c>
      <c r="R130" s="1">
        <f t="shared" si="29"/>
        <v>190165.97546666613</v>
      </c>
      <c r="S130" s="1">
        <f t="shared" si="30"/>
        <v>361315.35338666564</v>
      </c>
      <c r="W130" s="2"/>
      <c r="Y130" s="1"/>
      <c r="Z130" s="1"/>
      <c r="AA130" s="1"/>
      <c r="AB130" s="3"/>
      <c r="AC130" s="1"/>
      <c r="AD130" s="1"/>
    </row>
    <row r="131" spans="1:30" ht="12.75">
      <c r="A131">
        <f t="shared" si="14"/>
        <v>128</v>
      </c>
      <c r="D131" t="s">
        <v>30</v>
      </c>
      <c r="E131" s="23">
        <f t="shared" si="21"/>
        <v>129</v>
      </c>
      <c r="F131" s="1"/>
      <c r="G131" s="3"/>
      <c r="H131" s="1">
        <v>1131.2743</v>
      </c>
      <c r="I131" s="1">
        <f t="shared" si="24"/>
        <v>344.81240664</v>
      </c>
      <c r="J131" s="1">
        <f t="shared" si="25"/>
        <v>723471.3642999997</v>
      </c>
      <c r="K131" s="85">
        <f t="shared" si="26"/>
        <v>137.02109172348477</v>
      </c>
      <c r="L131" s="85">
        <f t="shared" si="23"/>
        <v>220.5140718386399</v>
      </c>
      <c r="M131" s="14">
        <v>0</v>
      </c>
      <c r="N131" s="1">
        <f t="shared" si="27"/>
        <v>0</v>
      </c>
      <c r="O131" s="1">
        <f t="shared" si="28"/>
        <v>0</v>
      </c>
      <c r="P131" s="15">
        <v>480</v>
      </c>
      <c r="Q131" s="1">
        <f t="shared" si="31"/>
        <v>480</v>
      </c>
      <c r="R131" s="1">
        <f t="shared" si="29"/>
        <v>24133.851733334363</v>
      </c>
      <c r="S131" s="1">
        <f t="shared" si="30"/>
        <v>45854.31829333529</v>
      </c>
      <c r="W131" s="2"/>
      <c r="Y131" s="1"/>
      <c r="Z131" s="1"/>
      <c r="AA131" s="1"/>
      <c r="AB131" s="3"/>
      <c r="AC131" s="1"/>
      <c r="AD131" s="1"/>
    </row>
    <row r="132" spans="1:30" ht="12.75">
      <c r="A132">
        <f aca="true" t="shared" si="32" ref="A132:A195">+A131+1</f>
        <v>129</v>
      </c>
      <c r="D132" t="s">
        <v>30</v>
      </c>
      <c r="E132" s="23">
        <f t="shared" si="21"/>
        <v>130</v>
      </c>
      <c r="F132" s="1">
        <v>1910</v>
      </c>
      <c r="G132" s="3">
        <f>5730/F132</f>
        <v>3</v>
      </c>
      <c r="H132" s="1">
        <v>1112.3961</v>
      </c>
      <c r="I132" s="1">
        <f t="shared" si="24"/>
        <v>339.05833128</v>
      </c>
      <c r="J132" s="1">
        <f t="shared" si="25"/>
        <v>724583.7603999997</v>
      </c>
      <c r="K132" s="85">
        <f t="shared" si="26"/>
        <v>137.23177280303025</v>
      </c>
      <c r="L132" s="85">
        <f t="shared" si="23"/>
        <v>220.8531301699199</v>
      </c>
      <c r="M132" s="14">
        <v>0</v>
      </c>
      <c r="N132" s="1">
        <f t="shared" si="27"/>
        <v>0</v>
      </c>
      <c r="O132" s="1">
        <f t="shared" si="28"/>
        <v>0</v>
      </c>
      <c r="P132" s="15">
        <v>480</v>
      </c>
      <c r="Q132" s="1">
        <f t="shared" si="31"/>
        <v>480</v>
      </c>
      <c r="R132" s="1">
        <f t="shared" si="29"/>
        <v>23731.11680000027</v>
      </c>
      <c r="S132" s="1">
        <f t="shared" si="30"/>
        <v>45089.12192000051</v>
      </c>
      <c r="W132" s="2"/>
      <c r="Y132" s="1"/>
      <c r="Z132" s="1"/>
      <c r="AA132" s="1"/>
      <c r="AB132" s="3"/>
      <c r="AC132" s="1"/>
      <c r="AD132" s="1"/>
    </row>
    <row r="133" spans="1:30" ht="12.75">
      <c r="A133">
        <f t="shared" si="32"/>
        <v>130</v>
      </c>
      <c r="D133" t="s">
        <v>30</v>
      </c>
      <c r="E133" s="23">
        <f aca="true" t="shared" si="33" ref="E133:E196">+E132+1</f>
        <v>131</v>
      </c>
      <c r="F133" s="1"/>
      <c r="G133" s="3"/>
      <c r="H133" s="1">
        <v>15285.5811</v>
      </c>
      <c r="I133" s="1">
        <f t="shared" si="24"/>
        <v>4659.04511928</v>
      </c>
      <c r="J133" s="1">
        <f t="shared" si="25"/>
        <v>739869.3414999996</v>
      </c>
      <c r="K133" s="85">
        <f t="shared" si="26"/>
        <v>140.12676922348479</v>
      </c>
      <c r="L133" s="85">
        <f t="shared" si="23"/>
        <v>225.5121752891999</v>
      </c>
      <c r="M133" s="14">
        <v>0</v>
      </c>
      <c r="N133" s="1">
        <f t="shared" si="27"/>
        <v>0</v>
      </c>
      <c r="O133" s="1">
        <f t="shared" si="28"/>
        <v>0</v>
      </c>
      <c r="P133" s="15">
        <v>480</v>
      </c>
      <c r="Q133" s="1">
        <f t="shared" si="31"/>
        <v>480</v>
      </c>
      <c r="R133" s="1">
        <f t="shared" si="29"/>
        <v>326092.396799999</v>
      </c>
      <c r="S133" s="1">
        <f t="shared" si="30"/>
        <v>619575.5539199981</v>
      </c>
      <c r="W133" s="2"/>
      <c r="Y133" s="1"/>
      <c r="Z133" s="1"/>
      <c r="AA133" s="1"/>
      <c r="AB133" s="3"/>
      <c r="AC133" s="1"/>
      <c r="AD133" s="1"/>
    </row>
    <row r="134" spans="1:30" ht="12.75">
      <c r="A134">
        <f t="shared" si="32"/>
        <v>131</v>
      </c>
      <c r="D134" t="s">
        <v>30</v>
      </c>
      <c r="E134" s="23">
        <f t="shared" si="33"/>
        <v>132</v>
      </c>
      <c r="F134" s="1">
        <v>5730</v>
      </c>
      <c r="G134" s="3">
        <f>5730/F134</f>
        <v>1</v>
      </c>
      <c r="H134" s="1">
        <v>2745.4799</v>
      </c>
      <c r="I134" s="1">
        <f t="shared" si="24"/>
        <v>836.82227352</v>
      </c>
      <c r="J134" s="1">
        <f t="shared" si="25"/>
        <v>742614.8213999997</v>
      </c>
      <c r="K134" s="85">
        <f t="shared" si="26"/>
        <v>140.64674647727267</v>
      </c>
      <c r="L134" s="85">
        <f aca="true" t="shared" si="34" ref="L134:L197">+L133+I134/1000</f>
        <v>226.3489975627199</v>
      </c>
      <c r="M134" s="14">
        <v>0</v>
      </c>
      <c r="N134" s="1">
        <f t="shared" si="27"/>
        <v>0</v>
      </c>
      <c r="O134" s="1">
        <f t="shared" si="28"/>
        <v>0</v>
      </c>
      <c r="P134" s="15">
        <v>480</v>
      </c>
      <c r="Q134" s="1">
        <f t="shared" si="31"/>
        <v>480</v>
      </c>
      <c r="R134" s="1">
        <f t="shared" si="29"/>
        <v>58570.23786666741</v>
      </c>
      <c r="S134" s="1">
        <f t="shared" si="30"/>
        <v>111283.45194666808</v>
      </c>
      <c r="V134" s="1"/>
      <c r="W134" s="2"/>
      <c r="Y134" s="1"/>
      <c r="Z134" s="1"/>
      <c r="AA134" s="1"/>
      <c r="AB134" s="3"/>
      <c r="AC134" s="1"/>
      <c r="AD134" s="1"/>
    </row>
    <row r="135" spans="1:29" ht="12.75">
      <c r="A135">
        <f t="shared" si="32"/>
        <v>132</v>
      </c>
      <c r="D135" t="s">
        <v>30</v>
      </c>
      <c r="E135" s="23">
        <f t="shared" si="33"/>
        <v>133</v>
      </c>
      <c r="F135" s="1"/>
      <c r="G135" s="3"/>
      <c r="H135" s="1">
        <v>1937.7533</v>
      </c>
      <c r="I135" s="1">
        <f aca="true" t="shared" si="35" ref="I135:I198">+H135*0.3048</f>
        <v>590.6272058400001</v>
      </c>
      <c r="J135" s="1">
        <f t="shared" si="25"/>
        <v>744552.5746999996</v>
      </c>
      <c r="K135" s="85">
        <f t="shared" si="26"/>
        <v>141.01374520833326</v>
      </c>
      <c r="L135" s="85">
        <f t="shared" si="34"/>
        <v>226.9396247685599</v>
      </c>
      <c r="M135" s="14">
        <v>0</v>
      </c>
      <c r="N135" s="1">
        <f t="shared" si="27"/>
        <v>0</v>
      </c>
      <c r="O135" s="1">
        <f t="shared" si="28"/>
        <v>0</v>
      </c>
      <c r="P135" s="15">
        <v>480</v>
      </c>
      <c r="Q135" s="1">
        <f t="shared" si="31"/>
        <v>480</v>
      </c>
      <c r="R135" s="1">
        <f t="shared" si="29"/>
        <v>41338.73706666628</v>
      </c>
      <c r="S135" s="1">
        <f t="shared" si="30"/>
        <v>78543.60042666593</v>
      </c>
      <c r="W135" s="2"/>
      <c r="AC135" s="1"/>
    </row>
    <row r="136" spans="1:30" ht="12.75">
      <c r="A136">
        <f t="shared" si="32"/>
        <v>133</v>
      </c>
      <c r="D136" t="s">
        <v>30</v>
      </c>
      <c r="E136" s="23">
        <f t="shared" si="33"/>
        <v>134</v>
      </c>
      <c r="F136" s="1">
        <v>1910</v>
      </c>
      <c r="G136" s="3">
        <f>5730/F136</f>
        <v>3</v>
      </c>
      <c r="H136" s="1">
        <v>1271.9654</v>
      </c>
      <c r="I136" s="1">
        <f t="shared" si="35"/>
        <v>387.69505392</v>
      </c>
      <c r="J136" s="1">
        <f t="shared" si="25"/>
        <v>745824.5400999996</v>
      </c>
      <c r="K136" s="85">
        <f t="shared" si="26"/>
        <v>141.25464774621204</v>
      </c>
      <c r="L136" s="85">
        <f t="shared" si="34"/>
        <v>227.3273198224799</v>
      </c>
      <c r="M136" s="14">
        <v>0</v>
      </c>
      <c r="N136" s="1">
        <f t="shared" si="27"/>
        <v>0</v>
      </c>
      <c r="O136" s="1">
        <f t="shared" si="28"/>
        <v>0</v>
      </c>
      <c r="P136" s="15">
        <v>480</v>
      </c>
      <c r="Q136" s="1">
        <f t="shared" si="31"/>
        <v>480</v>
      </c>
      <c r="R136" s="1">
        <f t="shared" si="29"/>
        <v>27135.261866666377</v>
      </c>
      <c r="S136" s="1">
        <f t="shared" si="30"/>
        <v>51556.99754666611</v>
      </c>
      <c r="W136" s="2"/>
      <c r="Y136" s="1"/>
      <c r="Z136" s="1"/>
      <c r="AA136" s="1"/>
      <c r="AB136" s="3"/>
      <c r="AC136" s="1"/>
      <c r="AD136" s="1"/>
    </row>
    <row r="137" spans="1:30" ht="12.75">
      <c r="A137">
        <f t="shared" si="32"/>
        <v>134</v>
      </c>
      <c r="D137" t="s">
        <v>30</v>
      </c>
      <c r="E137" s="23">
        <f t="shared" si="33"/>
        <v>135</v>
      </c>
      <c r="F137" s="1"/>
      <c r="G137" s="3"/>
      <c r="H137" s="1">
        <v>707.1124</v>
      </c>
      <c r="I137" s="1">
        <f t="shared" si="35"/>
        <v>215.52785952</v>
      </c>
      <c r="J137" s="1">
        <f t="shared" si="25"/>
        <v>746531.6524999996</v>
      </c>
      <c r="K137" s="85">
        <f t="shared" si="26"/>
        <v>141.38857054924236</v>
      </c>
      <c r="L137" s="85">
        <f t="shared" si="34"/>
        <v>227.5428476819999</v>
      </c>
      <c r="M137" s="14">
        <v>0</v>
      </c>
      <c r="N137" s="1">
        <f t="shared" si="27"/>
        <v>0</v>
      </c>
      <c r="O137" s="1">
        <f t="shared" si="28"/>
        <v>0</v>
      </c>
      <c r="P137" s="15">
        <v>480</v>
      </c>
      <c r="Q137" s="1">
        <f t="shared" si="31"/>
        <v>480</v>
      </c>
      <c r="R137" s="1">
        <f t="shared" si="29"/>
        <v>15085.064533332983</v>
      </c>
      <c r="S137" s="1">
        <f t="shared" si="30"/>
        <v>28661.622613332667</v>
      </c>
      <c r="V137" s="1"/>
      <c r="W137" s="2"/>
      <c r="Y137" s="1"/>
      <c r="Z137" s="1"/>
      <c r="AA137" s="1"/>
      <c r="AB137" s="3"/>
      <c r="AC137" s="1"/>
      <c r="AD137" s="1"/>
    </row>
    <row r="138" spans="1:30" ht="12.75">
      <c r="A138">
        <f t="shared" si="32"/>
        <v>135</v>
      </c>
      <c r="D138" t="s">
        <v>30</v>
      </c>
      <c r="E138" s="23">
        <f t="shared" si="33"/>
        <v>136</v>
      </c>
      <c r="F138" s="1">
        <v>1910</v>
      </c>
      <c r="G138" s="3">
        <f>5730/F138</f>
        <v>3</v>
      </c>
      <c r="H138" s="1">
        <v>484.8779</v>
      </c>
      <c r="I138" s="1">
        <f t="shared" si="35"/>
        <v>147.79078392000002</v>
      </c>
      <c r="J138" s="1">
        <f t="shared" si="25"/>
        <v>747016.5303999996</v>
      </c>
      <c r="K138" s="85">
        <f t="shared" si="26"/>
        <v>141.4804034848484</v>
      </c>
      <c r="L138" s="85">
        <f t="shared" si="34"/>
        <v>227.69063846591987</v>
      </c>
      <c r="M138" s="14">
        <v>0</v>
      </c>
      <c r="N138" s="1">
        <f t="shared" si="27"/>
        <v>0</v>
      </c>
      <c r="O138" s="1">
        <f t="shared" si="28"/>
        <v>0</v>
      </c>
      <c r="P138" s="15">
        <v>480</v>
      </c>
      <c r="Q138" s="1">
        <f t="shared" si="31"/>
        <v>480</v>
      </c>
      <c r="R138" s="1">
        <f t="shared" si="29"/>
        <v>10344.06186666588</v>
      </c>
      <c r="S138" s="1">
        <f t="shared" si="30"/>
        <v>19653.717546665168</v>
      </c>
      <c r="W138" s="2"/>
      <c r="Y138" s="1"/>
      <c r="Z138" s="1"/>
      <c r="AA138" s="1"/>
      <c r="AB138" s="3"/>
      <c r="AC138" s="1"/>
      <c r="AD138" s="1"/>
    </row>
    <row r="139" spans="1:30" ht="12.75">
      <c r="A139">
        <f t="shared" si="32"/>
        <v>136</v>
      </c>
      <c r="D139" t="s">
        <v>30</v>
      </c>
      <c r="E139" s="23">
        <f t="shared" si="33"/>
        <v>137</v>
      </c>
      <c r="F139" s="1"/>
      <c r="G139" s="3"/>
      <c r="H139" s="1">
        <v>3425.7943</v>
      </c>
      <c r="I139" s="1">
        <f t="shared" si="35"/>
        <v>1044.18210264</v>
      </c>
      <c r="J139" s="1">
        <f t="shared" si="25"/>
        <v>750442.3246999995</v>
      </c>
      <c r="K139" s="85">
        <f t="shared" si="26"/>
        <v>142.1292281628787</v>
      </c>
      <c r="L139" s="85">
        <f t="shared" si="34"/>
        <v>228.73482056855988</v>
      </c>
      <c r="M139" s="14">
        <v>95</v>
      </c>
      <c r="N139" s="1">
        <f t="shared" si="27"/>
        <v>47.5</v>
      </c>
      <c r="O139" s="1">
        <f t="shared" si="28"/>
        <v>7232.2324111110065</v>
      </c>
      <c r="P139" s="15">
        <v>254</v>
      </c>
      <c r="Q139" s="1">
        <f t="shared" si="31"/>
        <v>367</v>
      </c>
      <c r="R139" s="1">
        <f t="shared" si="29"/>
        <v>55878.5114711103</v>
      </c>
      <c r="S139" s="1">
        <f t="shared" si="30"/>
        <v>92427.93021399865</v>
      </c>
      <c r="W139" s="2"/>
      <c r="AC139" s="1"/>
      <c r="AD139" s="1"/>
    </row>
    <row r="140" spans="1:30" ht="12.75">
      <c r="A140">
        <f t="shared" si="32"/>
        <v>137</v>
      </c>
      <c r="D140" t="s">
        <v>30</v>
      </c>
      <c r="E140" s="23">
        <f t="shared" si="33"/>
        <v>138</v>
      </c>
      <c r="F140" s="1">
        <v>5730</v>
      </c>
      <c r="G140" s="3">
        <f>5730/F140</f>
        <v>1</v>
      </c>
      <c r="H140" s="1">
        <v>4742.2191</v>
      </c>
      <c r="I140" s="1">
        <f t="shared" si="35"/>
        <v>1445.4283816800003</v>
      </c>
      <c r="J140" s="1">
        <f t="shared" si="25"/>
        <v>755184.5437999995</v>
      </c>
      <c r="K140" s="85">
        <f t="shared" si="26"/>
        <v>143.0273757196969</v>
      </c>
      <c r="L140" s="85">
        <f t="shared" si="34"/>
        <v>230.18024895023987</v>
      </c>
      <c r="M140" s="14">
        <v>95</v>
      </c>
      <c r="N140" s="1">
        <f t="shared" si="27"/>
        <v>95</v>
      </c>
      <c r="O140" s="1">
        <f t="shared" si="28"/>
        <v>20022.702866666616</v>
      </c>
      <c r="P140" s="15">
        <v>254</v>
      </c>
      <c r="Q140" s="1">
        <f t="shared" si="31"/>
        <v>254</v>
      </c>
      <c r="R140" s="1">
        <f t="shared" si="29"/>
        <v>53534.38450666652</v>
      </c>
      <c r="S140" s="1">
        <f t="shared" si="30"/>
        <v>63672.19511599982</v>
      </c>
      <c r="W140" s="2"/>
      <c r="Y140" s="1"/>
      <c r="Z140" s="1"/>
      <c r="AA140" s="1"/>
      <c r="AB140" s="3"/>
      <c r="AC140" s="1"/>
      <c r="AD140" s="1"/>
    </row>
    <row r="141" spans="1:30" ht="12.75">
      <c r="A141">
        <f t="shared" si="32"/>
        <v>138</v>
      </c>
      <c r="D141" t="s">
        <v>30</v>
      </c>
      <c r="E141" s="23">
        <f t="shared" si="33"/>
        <v>139</v>
      </c>
      <c r="F141" s="1"/>
      <c r="G141" s="3"/>
      <c r="H141" s="1">
        <v>4234.6028</v>
      </c>
      <c r="I141" s="1">
        <f t="shared" si="35"/>
        <v>1290.70693344</v>
      </c>
      <c r="J141" s="1">
        <f t="shared" si="25"/>
        <v>759419.1465999995</v>
      </c>
      <c r="K141" s="85">
        <f t="shared" si="26"/>
        <v>143.82938382575747</v>
      </c>
      <c r="L141" s="85">
        <f t="shared" si="34"/>
        <v>231.47095588367986</v>
      </c>
      <c r="M141" s="14">
        <v>1075</v>
      </c>
      <c r="N141" s="1">
        <f t="shared" si="27"/>
        <v>585</v>
      </c>
      <c r="O141" s="1">
        <f t="shared" si="28"/>
        <v>110099.67279999983</v>
      </c>
      <c r="P141" s="15">
        <v>127</v>
      </c>
      <c r="Q141" s="1">
        <f t="shared" si="31"/>
        <v>190.5</v>
      </c>
      <c r="R141" s="1">
        <f t="shared" si="29"/>
        <v>35852.97037333328</v>
      </c>
      <c r="S141" s="1">
        <f t="shared" si="30"/>
        <v>-141068.7346106664</v>
      </c>
      <c r="W141" s="2"/>
      <c r="Y141" s="1"/>
      <c r="Z141" s="1"/>
      <c r="AA141" s="1"/>
      <c r="AB141" s="3"/>
      <c r="AC141" s="1"/>
      <c r="AD141" s="1"/>
    </row>
    <row r="142" spans="1:30" ht="12.75">
      <c r="A142">
        <f t="shared" si="32"/>
        <v>139</v>
      </c>
      <c r="D142" t="s">
        <v>30</v>
      </c>
      <c r="E142" s="23">
        <f t="shared" si="33"/>
        <v>140</v>
      </c>
      <c r="F142" s="1">
        <v>5730</v>
      </c>
      <c r="G142" s="3">
        <f>5730/F142</f>
        <v>1</v>
      </c>
      <c r="H142" s="1">
        <v>2406.6408</v>
      </c>
      <c r="I142" s="1">
        <f t="shared" si="35"/>
        <v>733.5441158400001</v>
      </c>
      <c r="J142" s="1">
        <f t="shared" si="25"/>
        <v>761825.7873999996</v>
      </c>
      <c r="K142" s="85">
        <f t="shared" si="26"/>
        <v>144.28518700757567</v>
      </c>
      <c r="L142" s="85">
        <f t="shared" si="34"/>
        <v>232.20449999951987</v>
      </c>
      <c r="M142" s="14">
        <v>95</v>
      </c>
      <c r="N142" s="1">
        <f t="shared" si="27"/>
        <v>585</v>
      </c>
      <c r="O142" s="1">
        <f t="shared" si="28"/>
        <v>62572.66080000135</v>
      </c>
      <c r="P142" s="15">
        <v>254</v>
      </c>
      <c r="Q142" s="1">
        <f t="shared" si="31"/>
        <v>190.5</v>
      </c>
      <c r="R142" s="1">
        <f t="shared" si="29"/>
        <v>20376.22544000044</v>
      </c>
      <c r="S142" s="1">
        <f t="shared" si="30"/>
        <v>-80173.22718400173</v>
      </c>
      <c r="W142" s="2"/>
      <c r="Y142" s="1"/>
      <c r="Z142" s="1"/>
      <c r="AA142" s="1"/>
      <c r="AB142" s="3"/>
      <c r="AC142" s="1"/>
      <c r="AD142" s="1"/>
    </row>
    <row r="143" spans="1:30" ht="12.75">
      <c r="A143">
        <f t="shared" si="32"/>
        <v>140</v>
      </c>
      <c r="D143" t="s">
        <v>30</v>
      </c>
      <c r="E143" s="23">
        <f t="shared" si="33"/>
        <v>141</v>
      </c>
      <c r="F143" s="1"/>
      <c r="G143" s="3"/>
      <c r="H143" s="1">
        <v>3648.4444</v>
      </c>
      <c r="I143" s="1">
        <f t="shared" si="35"/>
        <v>1112.04585312</v>
      </c>
      <c r="J143" s="1">
        <f t="shared" si="25"/>
        <v>765474.2317999996</v>
      </c>
      <c r="K143" s="85">
        <f t="shared" si="26"/>
        <v>144.97618026515144</v>
      </c>
      <c r="L143" s="85">
        <f t="shared" si="34"/>
        <v>233.31654585263988</v>
      </c>
      <c r="M143" s="14">
        <v>0</v>
      </c>
      <c r="N143" s="1">
        <f t="shared" si="27"/>
        <v>47.5</v>
      </c>
      <c r="O143" s="1">
        <f t="shared" si="28"/>
        <v>7702.271511111188</v>
      </c>
      <c r="P143" s="15">
        <v>480</v>
      </c>
      <c r="Q143" s="1">
        <f t="shared" si="31"/>
        <v>367</v>
      </c>
      <c r="R143" s="1">
        <f t="shared" si="29"/>
        <v>59510.181991111705</v>
      </c>
      <c r="S143" s="1">
        <f t="shared" si="30"/>
        <v>98435.02991200097</v>
      </c>
      <c r="W143" s="2"/>
      <c r="Y143" s="1"/>
      <c r="Z143" s="1"/>
      <c r="AA143" s="1"/>
      <c r="AB143" s="3"/>
      <c r="AC143" s="1"/>
      <c r="AD143" s="1"/>
    </row>
    <row r="144" spans="1:30" ht="12.75">
      <c r="A144">
        <f t="shared" si="32"/>
        <v>141</v>
      </c>
      <c r="D144" t="s">
        <v>30</v>
      </c>
      <c r="E144" s="23">
        <f t="shared" si="33"/>
        <v>142</v>
      </c>
      <c r="F144" s="1">
        <v>2865</v>
      </c>
      <c r="G144" s="3">
        <f>5730/F144</f>
        <v>2</v>
      </c>
      <c r="H144" s="1">
        <v>2709.7038</v>
      </c>
      <c r="I144" s="1">
        <f t="shared" si="35"/>
        <v>825.91771824</v>
      </c>
      <c r="J144" s="1">
        <f t="shared" si="25"/>
        <v>768183.9355999996</v>
      </c>
      <c r="K144" s="85">
        <f t="shared" si="26"/>
        <v>145.48938174242417</v>
      </c>
      <c r="L144" s="85">
        <f t="shared" si="34"/>
        <v>234.14246357087987</v>
      </c>
      <c r="M144" s="14">
        <v>95</v>
      </c>
      <c r="N144" s="1">
        <f t="shared" si="27"/>
        <v>47.5</v>
      </c>
      <c r="O144" s="1">
        <f t="shared" si="28"/>
        <v>5720.485800000037</v>
      </c>
      <c r="P144" s="15">
        <v>254</v>
      </c>
      <c r="Q144" s="1">
        <f t="shared" si="31"/>
        <v>367</v>
      </c>
      <c r="R144" s="1">
        <f t="shared" si="29"/>
        <v>44198.27976000029</v>
      </c>
      <c r="S144" s="1">
        <f t="shared" si="30"/>
        <v>73107.80852400047</v>
      </c>
      <c r="W144" s="2"/>
      <c r="Y144" s="1"/>
      <c r="Z144" s="1"/>
      <c r="AA144" s="1"/>
      <c r="AB144" s="3"/>
      <c r="AC144" s="1"/>
      <c r="AD144" s="1"/>
    </row>
    <row r="145" spans="1:30" ht="12.75">
      <c r="A145">
        <f t="shared" si="32"/>
        <v>142</v>
      </c>
      <c r="D145" t="s">
        <v>30</v>
      </c>
      <c r="E145" s="23">
        <f t="shared" si="33"/>
        <v>143</v>
      </c>
      <c r="F145" s="1"/>
      <c r="G145" s="3"/>
      <c r="H145" s="1">
        <v>3182.0258</v>
      </c>
      <c r="I145" s="1">
        <f t="shared" si="35"/>
        <v>969.88146384</v>
      </c>
      <c r="J145" s="1">
        <f t="shared" si="25"/>
        <v>771365.9613999996</v>
      </c>
      <c r="K145" s="85">
        <f t="shared" si="26"/>
        <v>146.0920381439393</v>
      </c>
      <c r="L145" s="85">
        <f t="shared" si="34"/>
        <v>235.11234503471988</v>
      </c>
      <c r="M145" s="14">
        <v>1075</v>
      </c>
      <c r="N145" s="1">
        <f t="shared" si="27"/>
        <v>585</v>
      </c>
      <c r="O145" s="1">
        <f t="shared" si="28"/>
        <v>82732.67079999857</v>
      </c>
      <c r="P145" s="15">
        <v>127</v>
      </c>
      <c r="Q145" s="1">
        <f t="shared" si="31"/>
        <v>190.5</v>
      </c>
      <c r="R145" s="1">
        <f t="shared" si="29"/>
        <v>26941.151773332866</v>
      </c>
      <c r="S145" s="1">
        <f t="shared" si="30"/>
        <v>-106003.88615066482</v>
      </c>
      <c r="W145" s="2"/>
      <c r="Y145" s="1"/>
      <c r="Z145" s="1"/>
      <c r="AA145" s="1"/>
      <c r="AB145" s="3"/>
      <c r="AC145" s="1"/>
      <c r="AD145" s="1"/>
    </row>
    <row r="146" spans="1:30" ht="12.75">
      <c r="A146">
        <f t="shared" si="32"/>
        <v>143</v>
      </c>
      <c r="D146" t="s">
        <v>30</v>
      </c>
      <c r="E146" s="23">
        <f t="shared" si="33"/>
        <v>144</v>
      </c>
      <c r="F146" s="1">
        <v>5730</v>
      </c>
      <c r="G146" s="3">
        <f>5730/F146</f>
        <v>1</v>
      </c>
      <c r="H146" s="1">
        <v>4174.9367</v>
      </c>
      <c r="I146" s="1">
        <f t="shared" si="35"/>
        <v>1272.5207061600001</v>
      </c>
      <c r="J146" s="1">
        <f t="shared" si="25"/>
        <v>775540.8980999995</v>
      </c>
      <c r="K146" s="85">
        <f t="shared" si="26"/>
        <v>146.88274585227265</v>
      </c>
      <c r="L146" s="85">
        <f t="shared" si="34"/>
        <v>236.3848657408799</v>
      </c>
      <c r="M146" s="14">
        <v>95</v>
      </c>
      <c r="N146" s="1">
        <f t="shared" si="27"/>
        <v>585</v>
      </c>
      <c r="O146" s="1">
        <f t="shared" si="28"/>
        <v>108548.35419999901</v>
      </c>
      <c r="P146" s="15">
        <v>254</v>
      </c>
      <c r="Q146" s="1">
        <f t="shared" si="31"/>
        <v>190.5</v>
      </c>
      <c r="R146" s="1">
        <f t="shared" si="29"/>
        <v>35347.797393333014</v>
      </c>
      <c r="S146" s="1">
        <f t="shared" si="30"/>
        <v>-139081.05793266537</v>
      </c>
      <c r="W146" s="2"/>
      <c r="Y146" s="1"/>
      <c r="Z146" s="1"/>
      <c r="AA146" s="1"/>
      <c r="AB146" s="3"/>
      <c r="AC146" s="1"/>
      <c r="AD146" s="1"/>
    </row>
    <row r="147" spans="1:30" ht="12.75">
      <c r="A147">
        <f t="shared" si="32"/>
        <v>144</v>
      </c>
      <c r="D147" t="s">
        <v>30</v>
      </c>
      <c r="E147" s="23">
        <f t="shared" si="33"/>
        <v>145</v>
      </c>
      <c r="F147" s="1"/>
      <c r="G147" s="3"/>
      <c r="H147" s="1">
        <v>5196.8954</v>
      </c>
      <c r="I147" s="1">
        <f t="shared" si="35"/>
        <v>1584.01371792</v>
      </c>
      <c r="J147" s="1">
        <f t="shared" si="25"/>
        <v>780737.7934999996</v>
      </c>
      <c r="K147" s="85">
        <f t="shared" si="26"/>
        <v>147.86700634469688</v>
      </c>
      <c r="L147" s="85">
        <f t="shared" si="34"/>
        <v>237.96887945879988</v>
      </c>
      <c r="M147" s="14">
        <v>50</v>
      </c>
      <c r="N147" s="1">
        <f t="shared" si="27"/>
        <v>72.5</v>
      </c>
      <c r="O147" s="1">
        <f t="shared" si="28"/>
        <v>16745.551844444566</v>
      </c>
      <c r="P147" s="15">
        <v>300</v>
      </c>
      <c r="Q147" s="1">
        <f t="shared" si="31"/>
        <v>277</v>
      </c>
      <c r="R147" s="1">
        <f t="shared" si="29"/>
        <v>63979.55670222268</v>
      </c>
      <c r="S147" s="1">
        <f t="shared" si="30"/>
        <v>89744.6092297784</v>
      </c>
      <c r="V147" s="1"/>
      <c r="W147" s="2"/>
      <c r="Y147" s="1"/>
      <c r="Z147" s="1"/>
      <c r="AA147" s="1"/>
      <c r="AB147" s="3"/>
      <c r="AC147" s="1"/>
      <c r="AD147" s="1"/>
    </row>
    <row r="148" spans="1:30" ht="12.75">
      <c r="A148">
        <f t="shared" si="32"/>
        <v>145</v>
      </c>
      <c r="D148" t="s">
        <v>30</v>
      </c>
      <c r="E148" s="23">
        <f t="shared" si="33"/>
        <v>146</v>
      </c>
      <c r="F148" s="1">
        <v>1910</v>
      </c>
      <c r="G148" s="3">
        <f>5730/F148</f>
        <v>3</v>
      </c>
      <c r="H148" s="1">
        <v>918.7399</v>
      </c>
      <c r="I148" s="1">
        <f t="shared" si="35"/>
        <v>280.03192152</v>
      </c>
      <c r="J148" s="1">
        <f t="shared" si="25"/>
        <v>781656.5333999996</v>
      </c>
      <c r="K148" s="85">
        <f t="shared" si="26"/>
        <v>148.04101011363628</v>
      </c>
      <c r="L148" s="85">
        <f t="shared" si="34"/>
        <v>238.24891138031987</v>
      </c>
      <c r="M148" s="14">
        <v>1075</v>
      </c>
      <c r="N148" s="1">
        <f t="shared" si="27"/>
        <v>562.5</v>
      </c>
      <c r="O148" s="1">
        <f t="shared" si="28"/>
        <v>22968.497500001104</v>
      </c>
      <c r="P148" s="15">
        <v>127</v>
      </c>
      <c r="Q148" s="1">
        <f t="shared" si="31"/>
        <v>213.5</v>
      </c>
      <c r="R148" s="1">
        <f t="shared" si="29"/>
        <v>8717.820828889307</v>
      </c>
      <c r="S148" s="1">
        <f t="shared" si="30"/>
        <v>-27076.285675112413</v>
      </c>
      <c r="W148" s="2"/>
      <c r="Y148" s="1"/>
      <c r="Z148" s="1"/>
      <c r="AA148" s="1"/>
      <c r="AB148" s="3"/>
      <c r="AC148" s="1"/>
      <c r="AD148" s="1"/>
    </row>
    <row r="149" spans="1:30" ht="12.75">
      <c r="A149">
        <f t="shared" si="32"/>
        <v>146</v>
      </c>
      <c r="D149" t="s">
        <v>30</v>
      </c>
      <c r="E149" s="23">
        <f t="shared" si="33"/>
        <v>147</v>
      </c>
      <c r="F149" s="1"/>
      <c r="G149" s="3"/>
      <c r="H149" s="1">
        <v>1041.9937</v>
      </c>
      <c r="I149" s="1">
        <f t="shared" si="35"/>
        <v>317.59967976</v>
      </c>
      <c r="J149" s="1">
        <f t="shared" si="25"/>
        <v>782698.5270999996</v>
      </c>
      <c r="K149" s="85">
        <f t="shared" si="26"/>
        <v>148.23835740530296</v>
      </c>
      <c r="L149" s="85">
        <f t="shared" si="34"/>
        <v>238.56651106007988</v>
      </c>
      <c r="M149" s="14">
        <v>0</v>
      </c>
      <c r="N149" s="1">
        <f t="shared" si="27"/>
        <v>537.5</v>
      </c>
      <c r="O149" s="1">
        <f t="shared" si="28"/>
        <v>24892.071722222026</v>
      </c>
      <c r="P149" s="15">
        <v>480</v>
      </c>
      <c r="Q149" s="1">
        <f t="shared" si="31"/>
        <v>303.5</v>
      </c>
      <c r="R149" s="1">
        <f t="shared" si="29"/>
        <v>14055.337242222111</v>
      </c>
      <c r="S149" s="1">
        <f t="shared" si="30"/>
        <v>-20589.795511999837</v>
      </c>
      <c r="W149" s="2"/>
      <c r="Y149" s="1"/>
      <c r="Z149" s="1"/>
      <c r="AA149" s="1"/>
      <c r="AB149" s="3"/>
      <c r="AC149" s="1"/>
      <c r="AD149" s="1"/>
    </row>
    <row r="150" spans="1:30" ht="12.75">
      <c r="A150">
        <f t="shared" si="32"/>
        <v>147</v>
      </c>
      <c r="D150" t="s">
        <v>30</v>
      </c>
      <c r="E150" s="23">
        <f t="shared" si="33"/>
        <v>148</v>
      </c>
      <c r="F150" s="1">
        <v>11460</v>
      </c>
      <c r="G150" s="3">
        <f>5730/F150</f>
        <v>0.5</v>
      </c>
      <c r="H150" s="1">
        <v>4541.7</v>
      </c>
      <c r="I150" s="1">
        <f t="shared" si="35"/>
        <v>1384.31016</v>
      </c>
      <c r="J150" s="1">
        <f t="shared" si="25"/>
        <v>787240.2270999996</v>
      </c>
      <c r="K150" s="85">
        <f t="shared" si="26"/>
        <v>149.0985278598484</v>
      </c>
      <c r="L150" s="85">
        <f t="shared" si="34"/>
        <v>239.9508212200799</v>
      </c>
      <c r="M150" s="14">
        <v>0</v>
      </c>
      <c r="N150" s="1">
        <f t="shared" si="27"/>
        <v>0</v>
      </c>
      <c r="O150" s="1">
        <f t="shared" si="28"/>
        <v>0</v>
      </c>
      <c r="P150" s="15">
        <v>480</v>
      </c>
      <c r="Q150" s="1">
        <f t="shared" si="31"/>
        <v>480</v>
      </c>
      <c r="R150" s="1">
        <f t="shared" si="29"/>
        <v>96889.599999999</v>
      </c>
      <c r="S150" s="1">
        <f t="shared" si="30"/>
        <v>184090.2399999981</v>
      </c>
      <c r="W150" s="2"/>
      <c r="Y150" s="1"/>
      <c r="Z150" s="1"/>
      <c r="AA150" s="1"/>
      <c r="AB150" s="3"/>
      <c r="AC150" s="1"/>
      <c r="AD150" s="1"/>
    </row>
    <row r="151" spans="1:30" ht="12.75">
      <c r="A151">
        <f t="shared" si="32"/>
        <v>148</v>
      </c>
      <c r="D151" t="s">
        <v>30</v>
      </c>
      <c r="E151" s="23">
        <f t="shared" si="33"/>
        <v>149</v>
      </c>
      <c r="F151" s="1"/>
      <c r="G151" s="3"/>
      <c r="H151" s="1">
        <v>3472.317</v>
      </c>
      <c r="I151" s="1">
        <f t="shared" si="35"/>
        <v>1058.3622216</v>
      </c>
      <c r="J151" s="1">
        <f t="shared" si="25"/>
        <v>790712.5440999996</v>
      </c>
      <c r="K151" s="85">
        <f t="shared" si="26"/>
        <v>149.75616365530294</v>
      </c>
      <c r="L151" s="85">
        <f t="shared" si="34"/>
        <v>241.00918344167988</v>
      </c>
      <c r="M151" s="14">
        <v>170</v>
      </c>
      <c r="N151" s="1">
        <f t="shared" si="27"/>
        <v>85</v>
      </c>
      <c r="O151" s="1">
        <f t="shared" si="28"/>
        <v>13117.642000000147</v>
      </c>
      <c r="P151" s="15">
        <v>126</v>
      </c>
      <c r="Q151" s="1">
        <f t="shared" si="31"/>
        <v>303</v>
      </c>
      <c r="R151" s="1">
        <f t="shared" si="29"/>
        <v>46760.53560000052</v>
      </c>
      <c r="S151" s="1">
        <f t="shared" si="30"/>
        <v>63921.49784000071</v>
      </c>
      <c r="W151" s="2"/>
      <c r="X151" s="46"/>
      <c r="Y151" s="1"/>
      <c r="Z151" s="1"/>
      <c r="AA151" s="1"/>
      <c r="AB151" s="3"/>
      <c r="AC151" s="1"/>
      <c r="AD151" s="1"/>
    </row>
    <row r="152" spans="1:29" ht="12.75">
      <c r="A152">
        <f t="shared" si="32"/>
        <v>149</v>
      </c>
      <c r="D152" t="s">
        <v>30</v>
      </c>
      <c r="E152" s="23">
        <f t="shared" si="33"/>
        <v>150</v>
      </c>
      <c r="F152" s="1">
        <v>2865</v>
      </c>
      <c r="G152" s="3">
        <f>5730/F152</f>
        <v>2</v>
      </c>
      <c r="H152" s="1">
        <v>1937.6734</v>
      </c>
      <c r="I152" s="1">
        <f t="shared" si="35"/>
        <v>590.60285232</v>
      </c>
      <c r="J152" s="1">
        <f t="shared" si="25"/>
        <v>792650.2174999996</v>
      </c>
      <c r="K152" s="85">
        <f t="shared" si="26"/>
        <v>150.1231472537878</v>
      </c>
      <c r="L152" s="85">
        <f t="shared" si="34"/>
        <v>241.59978629399987</v>
      </c>
      <c r="M152" s="14">
        <v>170</v>
      </c>
      <c r="N152" s="1">
        <f t="shared" si="27"/>
        <v>170</v>
      </c>
      <c r="O152" s="1">
        <f t="shared" si="28"/>
        <v>14640.199022222</v>
      </c>
      <c r="P152" s="15">
        <v>126</v>
      </c>
      <c r="Q152" s="1">
        <f t="shared" si="31"/>
        <v>126</v>
      </c>
      <c r="R152" s="1">
        <f t="shared" si="29"/>
        <v>10850.971039999835</v>
      </c>
      <c r="S152" s="1">
        <f t="shared" si="30"/>
        <v>-7199.533166222112</v>
      </c>
      <c r="T152" s="1"/>
      <c r="U152" s="1"/>
      <c r="W152" s="2"/>
      <c r="X152" s="46"/>
      <c r="Y152" s="1"/>
      <c r="Z152" s="1"/>
      <c r="AA152" s="1"/>
      <c r="AB152" s="3"/>
      <c r="AC152" s="1"/>
    </row>
    <row r="153" spans="1:30" ht="12.75">
      <c r="A153">
        <f t="shared" si="32"/>
        <v>150</v>
      </c>
      <c r="D153" t="s">
        <v>30</v>
      </c>
      <c r="E153" s="23">
        <f t="shared" si="33"/>
        <v>151</v>
      </c>
      <c r="F153" s="1"/>
      <c r="G153" s="3"/>
      <c r="H153" s="1">
        <v>4834.5705</v>
      </c>
      <c r="I153" s="1">
        <f t="shared" si="35"/>
        <v>1473.5770884</v>
      </c>
      <c r="J153" s="1">
        <f t="shared" si="25"/>
        <v>797484.7879999996</v>
      </c>
      <c r="K153" s="85">
        <f t="shared" si="26"/>
        <v>151.03878560606054</v>
      </c>
      <c r="L153" s="85">
        <f t="shared" si="34"/>
        <v>243.07336338239986</v>
      </c>
      <c r="M153" s="14">
        <v>170</v>
      </c>
      <c r="N153" s="1">
        <f t="shared" si="27"/>
        <v>170</v>
      </c>
      <c r="O153" s="1">
        <f t="shared" si="28"/>
        <v>36527.866000000235</v>
      </c>
      <c r="P153" s="15">
        <v>126</v>
      </c>
      <c r="Q153" s="1">
        <f t="shared" si="31"/>
        <v>126</v>
      </c>
      <c r="R153" s="1">
        <f t="shared" si="29"/>
        <v>27073.59480000017</v>
      </c>
      <c r="S153" s="1">
        <f t="shared" si="30"/>
        <v>-17963.115280000122</v>
      </c>
      <c r="W153" s="2"/>
      <c r="Y153" s="1"/>
      <c r="Z153" s="1"/>
      <c r="AA153" s="1"/>
      <c r="AB153" s="3"/>
      <c r="AC153" s="1"/>
      <c r="AD153" s="1"/>
    </row>
    <row r="154" spans="1:30" ht="12.75">
      <c r="A154">
        <f t="shared" si="32"/>
        <v>151</v>
      </c>
      <c r="D154" t="s">
        <v>30</v>
      </c>
      <c r="E154" s="23">
        <f t="shared" si="33"/>
        <v>152</v>
      </c>
      <c r="F154" s="1">
        <v>1910</v>
      </c>
      <c r="G154" s="3">
        <f>5730/F154</f>
        <v>3</v>
      </c>
      <c r="H154" s="1">
        <v>4396.9509</v>
      </c>
      <c r="I154" s="1">
        <f t="shared" si="35"/>
        <v>1340.19063432</v>
      </c>
      <c r="J154" s="1">
        <f t="shared" si="25"/>
        <v>801881.7388999996</v>
      </c>
      <c r="K154" s="85">
        <f t="shared" si="26"/>
        <v>151.87154145833327</v>
      </c>
      <c r="L154" s="85">
        <f t="shared" si="34"/>
        <v>244.41355401671987</v>
      </c>
      <c r="M154" s="14">
        <v>1075</v>
      </c>
      <c r="N154" s="1">
        <f t="shared" si="27"/>
        <v>622.5</v>
      </c>
      <c r="O154" s="1">
        <f t="shared" si="28"/>
        <v>121648.9749000015</v>
      </c>
      <c r="P154" s="15">
        <v>127</v>
      </c>
      <c r="Q154" s="1">
        <f t="shared" si="31"/>
        <v>126.5</v>
      </c>
      <c r="R154" s="1">
        <f t="shared" si="29"/>
        <v>24720.635060000302</v>
      </c>
      <c r="S154" s="1">
        <f t="shared" si="30"/>
        <v>-184163.84569600227</v>
      </c>
      <c r="W154" s="2"/>
      <c r="Y154" s="1"/>
      <c r="Z154" s="1"/>
      <c r="AA154" s="1"/>
      <c r="AB154" s="3"/>
      <c r="AC154" s="1"/>
      <c r="AD154" s="1"/>
    </row>
    <row r="155" spans="1:30" ht="12.75">
      <c r="A155">
        <f t="shared" si="32"/>
        <v>152</v>
      </c>
      <c r="D155" t="s">
        <v>30</v>
      </c>
      <c r="E155" s="23">
        <f t="shared" si="33"/>
        <v>153</v>
      </c>
      <c r="F155" s="1"/>
      <c r="G155" s="3"/>
      <c r="H155" s="1">
        <v>1936.1646</v>
      </c>
      <c r="I155" s="1">
        <f t="shared" si="35"/>
        <v>590.14297008</v>
      </c>
      <c r="J155" s="1">
        <f t="shared" si="25"/>
        <v>803817.9034999997</v>
      </c>
      <c r="K155" s="85">
        <f t="shared" si="26"/>
        <v>152.23823929924237</v>
      </c>
      <c r="L155" s="85">
        <f t="shared" si="34"/>
        <v>245.00369698679987</v>
      </c>
      <c r="M155" s="14">
        <v>1075</v>
      </c>
      <c r="N155" s="1">
        <f t="shared" si="27"/>
        <v>1075</v>
      </c>
      <c r="O155" s="1">
        <f t="shared" si="28"/>
        <v>92505.64200000087</v>
      </c>
      <c r="P155" s="15">
        <v>127</v>
      </c>
      <c r="Q155" s="1">
        <f t="shared" si="31"/>
        <v>127</v>
      </c>
      <c r="R155" s="1">
        <f t="shared" si="29"/>
        <v>10928.573520000104</v>
      </c>
      <c r="S155" s="1">
        <f t="shared" si="30"/>
        <v>-154996.43011200143</v>
      </c>
      <c r="W155" s="2"/>
      <c r="Y155" s="1"/>
      <c r="Z155" s="1"/>
      <c r="AA155" s="1"/>
      <c r="AB155" s="3"/>
      <c r="AC155" s="1"/>
      <c r="AD155" s="1"/>
    </row>
    <row r="156" spans="1:30" ht="12.75">
      <c r="A156">
        <f t="shared" si="32"/>
        <v>153</v>
      </c>
      <c r="D156" t="s">
        <v>30</v>
      </c>
      <c r="E156" s="23">
        <f t="shared" si="33"/>
        <v>154</v>
      </c>
      <c r="F156" s="1">
        <v>1910</v>
      </c>
      <c r="G156" s="3">
        <f>5730/F156</f>
        <v>3</v>
      </c>
      <c r="H156" s="1">
        <v>2613.5751</v>
      </c>
      <c r="I156" s="1">
        <f t="shared" si="35"/>
        <v>796.6176904800001</v>
      </c>
      <c r="J156" s="1">
        <f t="shared" si="25"/>
        <v>806431.4785999997</v>
      </c>
      <c r="K156" s="85">
        <f t="shared" si="26"/>
        <v>152.73323458333329</v>
      </c>
      <c r="L156" s="85">
        <f t="shared" si="34"/>
        <v>245.80031467727986</v>
      </c>
      <c r="M156" s="14">
        <v>0</v>
      </c>
      <c r="N156" s="1">
        <f t="shared" si="27"/>
        <v>537.5</v>
      </c>
      <c r="O156" s="1">
        <f t="shared" si="28"/>
        <v>62435.40516666706</v>
      </c>
      <c r="P156" s="15">
        <v>480</v>
      </c>
      <c r="Q156" s="1">
        <f t="shared" si="31"/>
        <v>303.5</v>
      </c>
      <c r="R156" s="1">
        <f t="shared" si="29"/>
        <v>35254.224126666886</v>
      </c>
      <c r="S156" s="1">
        <f t="shared" si="30"/>
        <v>-51644.24397600032</v>
      </c>
      <c r="T156" t="s">
        <v>1</v>
      </c>
      <c r="W156" s="2"/>
      <c r="Y156" s="1"/>
      <c r="Z156" s="1"/>
      <c r="AA156" s="1"/>
      <c r="AB156" s="3"/>
      <c r="AC156" s="1"/>
      <c r="AD156" s="1"/>
    </row>
    <row r="157" spans="1:30" ht="12.75">
      <c r="A157">
        <f t="shared" si="32"/>
        <v>154</v>
      </c>
      <c r="D157" t="s">
        <v>30</v>
      </c>
      <c r="E157" s="23">
        <f t="shared" si="33"/>
        <v>155</v>
      </c>
      <c r="F157" s="1"/>
      <c r="G157" s="3"/>
      <c r="H157" s="1">
        <v>7446.2444</v>
      </c>
      <c r="I157" s="1">
        <f t="shared" si="35"/>
        <v>2269.61529312</v>
      </c>
      <c r="J157" s="1">
        <f t="shared" si="25"/>
        <v>813877.7229999996</v>
      </c>
      <c r="K157" s="85">
        <f t="shared" si="26"/>
        <v>154.14350814393933</v>
      </c>
      <c r="L157" s="85">
        <f t="shared" si="34"/>
        <v>248.06992997039987</v>
      </c>
      <c r="M157" s="14">
        <v>1075</v>
      </c>
      <c r="N157" s="1">
        <f t="shared" si="27"/>
        <v>537.5</v>
      </c>
      <c r="O157" s="1">
        <f t="shared" si="28"/>
        <v>177882.50511111034</v>
      </c>
      <c r="P157" s="15">
        <v>127</v>
      </c>
      <c r="Q157" s="1">
        <f t="shared" si="31"/>
        <v>303.5</v>
      </c>
      <c r="R157" s="1">
        <f t="shared" si="29"/>
        <v>100441.56335111066</v>
      </c>
      <c r="S157" s="1">
        <f t="shared" si="30"/>
        <v>-147137.78934399938</v>
      </c>
      <c r="W157" s="2"/>
      <c r="Y157" s="1"/>
      <c r="Z157" s="1"/>
      <c r="AA157" s="1"/>
      <c r="AB157" s="3"/>
      <c r="AC157" s="1"/>
      <c r="AD157" s="1"/>
    </row>
    <row r="158" spans="1:30" ht="12.75">
      <c r="A158">
        <f t="shared" si="32"/>
        <v>155</v>
      </c>
      <c r="D158" t="s">
        <v>30</v>
      </c>
      <c r="E158" s="23">
        <f t="shared" si="33"/>
        <v>156</v>
      </c>
      <c r="F158" s="1">
        <v>1910</v>
      </c>
      <c r="G158" s="3">
        <f>5730/F158</f>
        <v>3</v>
      </c>
      <c r="H158" s="1">
        <v>2509.8234</v>
      </c>
      <c r="I158" s="1">
        <f t="shared" si="35"/>
        <v>764.9941723200001</v>
      </c>
      <c r="J158" s="1">
        <f t="shared" si="25"/>
        <v>816387.5463999996</v>
      </c>
      <c r="K158" s="85">
        <f t="shared" si="26"/>
        <v>154.61885348484842</v>
      </c>
      <c r="L158" s="85">
        <f t="shared" si="34"/>
        <v>248.83492414271987</v>
      </c>
      <c r="M158" s="14">
        <v>1075</v>
      </c>
      <c r="N158" s="1">
        <f t="shared" si="27"/>
        <v>1075</v>
      </c>
      <c r="O158" s="1">
        <f t="shared" si="28"/>
        <v>119913.78466666638</v>
      </c>
      <c r="P158" s="15">
        <v>127</v>
      </c>
      <c r="Q158" s="1">
        <f t="shared" si="31"/>
        <v>127</v>
      </c>
      <c r="R158" s="1">
        <f t="shared" si="29"/>
        <v>14166.558746666633</v>
      </c>
      <c r="S158" s="1">
        <f t="shared" si="30"/>
        <v>-200919.72924799952</v>
      </c>
      <c r="W158" s="2"/>
      <c r="Y158" s="1"/>
      <c r="Z158" s="1"/>
      <c r="AA158" s="1"/>
      <c r="AB158" s="3"/>
      <c r="AC158" s="1"/>
      <c r="AD158" s="1"/>
    </row>
    <row r="159" spans="1:30" ht="12.75">
      <c r="A159">
        <f t="shared" si="32"/>
        <v>156</v>
      </c>
      <c r="D159" t="s">
        <v>30</v>
      </c>
      <c r="E159" s="23">
        <f t="shared" si="33"/>
        <v>157</v>
      </c>
      <c r="F159" s="1"/>
      <c r="G159" s="3"/>
      <c r="H159" s="1">
        <v>1192.7014</v>
      </c>
      <c r="I159" s="1">
        <f t="shared" si="35"/>
        <v>363.53538672</v>
      </c>
      <c r="J159" s="1">
        <f t="shared" si="25"/>
        <v>817580.2477999997</v>
      </c>
      <c r="K159" s="85">
        <f t="shared" si="26"/>
        <v>154.84474390151507</v>
      </c>
      <c r="L159" s="85">
        <f t="shared" si="34"/>
        <v>249.19845952943987</v>
      </c>
      <c r="M159" s="14">
        <v>1075</v>
      </c>
      <c r="N159" s="1">
        <f t="shared" si="27"/>
        <v>1075</v>
      </c>
      <c r="O159" s="1">
        <f t="shared" si="28"/>
        <v>56984.6224444454</v>
      </c>
      <c r="P159" s="15">
        <v>127</v>
      </c>
      <c r="Q159" s="1">
        <f t="shared" si="31"/>
        <v>127</v>
      </c>
      <c r="R159" s="1">
        <f t="shared" si="29"/>
        <v>6732.136791111224</v>
      </c>
      <c r="S159" s="1">
        <f t="shared" si="30"/>
        <v>-95479.72274133493</v>
      </c>
      <c r="W159" s="2"/>
      <c r="Y159" s="1"/>
      <c r="Z159" s="1"/>
      <c r="AA159" s="1"/>
      <c r="AB159" s="3"/>
      <c r="AC159" s="1"/>
      <c r="AD159" s="1"/>
    </row>
    <row r="160" spans="1:30" ht="12.75">
      <c r="A160">
        <f t="shared" si="32"/>
        <v>157</v>
      </c>
      <c r="D160" t="s">
        <v>30</v>
      </c>
      <c r="E160" s="23">
        <f t="shared" si="33"/>
        <v>158</v>
      </c>
      <c r="F160" s="1">
        <v>1910</v>
      </c>
      <c r="G160" s="3">
        <f>5730/F160</f>
        <v>3</v>
      </c>
      <c r="H160" s="1">
        <v>4004.1065</v>
      </c>
      <c r="I160" s="1">
        <f t="shared" si="35"/>
        <v>1220.4516612</v>
      </c>
      <c r="J160" s="1">
        <f t="shared" si="25"/>
        <v>821584.3542999997</v>
      </c>
      <c r="K160" s="85">
        <f t="shared" si="26"/>
        <v>155.60309740530298</v>
      </c>
      <c r="L160" s="85">
        <f t="shared" si="34"/>
        <v>250.41891119063988</v>
      </c>
      <c r="M160" s="14">
        <v>1075</v>
      </c>
      <c r="N160" s="1">
        <f t="shared" si="27"/>
        <v>1075</v>
      </c>
      <c r="O160" s="1">
        <f t="shared" si="28"/>
        <v>191307.31055555528</v>
      </c>
      <c r="P160" s="15">
        <v>127</v>
      </c>
      <c r="Q160" s="1">
        <f t="shared" si="31"/>
        <v>127</v>
      </c>
      <c r="R160" s="1">
        <f t="shared" si="29"/>
        <v>22600.95668888886</v>
      </c>
      <c r="S160" s="1">
        <f t="shared" si="30"/>
        <v>-320542.0723466662</v>
      </c>
      <c r="W160" s="2"/>
      <c r="Y160" s="1"/>
      <c r="Z160" s="1"/>
      <c r="AA160" s="1"/>
      <c r="AB160" s="3"/>
      <c r="AC160" s="1"/>
      <c r="AD160" s="1"/>
    </row>
    <row r="161" spans="1:30" ht="12.75">
      <c r="A161">
        <f t="shared" si="32"/>
        <v>158</v>
      </c>
      <c r="D161" t="s">
        <v>30</v>
      </c>
      <c r="E161" s="23">
        <f t="shared" si="33"/>
        <v>159</v>
      </c>
      <c r="F161" s="1"/>
      <c r="G161" s="3"/>
      <c r="H161" s="1">
        <v>508.2166</v>
      </c>
      <c r="I161" s="1">
        <f t="shared" si="35"/>
        <v>154.90441968000002</v>
      </c>
      <c r="J161" s="1">
        <f t="shared" si="25"/>
        <v>822092.5708999997</v>
      </c>
      <c r="K161" s="85">
        <f t="shared" si="26"/>
        <v>155.69935054924235</v>
      </c>
      <c r="L161" s="85">
        <f t="shared" si="34"/>
        <v>250.57381561031988</v>
      </c>
      <c r="M161" s="14">
        <v>0</v>
      </c>
      <c r="N161" s="1">
        <f t="shared" si="27"/>
        <v>537.5</v>
      </c>
      <c r="O161" s="1">
        <f t="shared" si="28"/>
        <v>12140.729888889926</v>
      </c>
      <c r="P161" s="15">
        <v>480</v>
      </c>
      <c r="Q161" s="1">
        <f t="shared" si="31"/>
        <v>303.5</v>
      </c>
      <c r="R161" s="1">
        <f t="shared" si="29"/>
        <v>6855.277248889474</v>
      </c>
      <c r="S161" s="1">
        <f t="shared" si="30"/>
        <v>-10042.360016000857</v>
      </c>
      <c r="W161" s="2"/>
      <c r="Y161" s="1"/>
      <c r="Z161" s="1"/>
      <c r="AA161" s="1"/>
      <c r="AB161" s="3"/>
      <c r="AC161" s="1"/>
      <c r="AD161" s="1"/>
    </row>
    <row r="162" spans="1:30" ht="12.75">
      <c r="A162">
        <f t="shared" si="32"/>
        <v>159</v>
      </c>
      <c r="D162" t="s">
        <v>30</v>
      </c>
      <c r="E162" s="23">
        <f t="shared" si="33"/>
        <v>160</v>
      </c>
      <c r="F162" s="1">
        <v>1910</v>
      </c>
      <c r="G162" s="3">
        <f>5730/F162</f>
        <v>3</v>
      </c>
      <c r="H162" s="1">
        <v>1782.0058</v>
      </c>
      <c r="I162" s="1">
        <f t="shared" si="35"/>
        <v>543.15536784</v>
      </c>
      <c r="J162" s="1">
        <f t="shared" si="25"/>
        <v>823874.5766999997</v>
      </c>
      <c r="K162" s="85">
        <f t="shared" si="26"/>
        <v>156.03685164772722</v>
      </c>
      <c r="L162" s="85">
        <f t="shared" si="34"/>
        <v>251.11697097815988</v>
      </c>
      <c r="M162" s="14">
        <v>0</v>
      </c>
      <c r="N162" s="1">
        <f t="shared" si="27"/>
        <v>0</v>
      </c>
      <c r="O162" s="1">
        <f t="shared" si="28"/>
        <v>0</v>
      </c>
      <c r="P162" s="15">
        <v>480</v>
      </c>
      <c r="Q162" s="1">
        <f t="shared" si="31"/>
        <v>480</v>
      </c>
      <c r="R162" s="1">
        <f t="shared" si="29"/>
        <v>38016.12373333424</v>
      </c>
      <c r="S162" s="1">
        <f t="shared" si="30"/>
        <v>72230.63509333506</v>
      </c>
      <c r="W162" s="2"/>
      <c r="Y162" s="1"/>
      <c r="Z162" s="1"/>
      <c r="AA162" s="1"/>
      <c r="AB162" s="3"/>
      <c r="AC162" s="1"/>
      <c r="AD162" s="1"/>
    </row>
    <row r="163" spans="1:30" ht="12.75">
      <c r="A163">
        <f t="shared" si="32"/>
        <v>160</v>
      </c>
      <c r="D163" t="s">
        <v>30</v>
      </c>
      <c r="E163" s="23">
        <f t="shared" si="33"/>
        <v>161</v>
      </c>
      <c r="F163" s="1"/>
      <c r="G163" s="3"/>
      <c r="H163" s="1">
        <v>1471.637</v>
      </c>
      <c r="I163" s="1">
        <f t="shared" si="35"/>
        <v>448.5549576</v>
      </c>
      <c r="J163" s="1">
        <f t="shared" si="25"/>
        <v>825346.2136999997</v>
      </c>
      <c r="K163" s="85">
        <f t="shared" si="26"/>
        <v>156.3155707765151</v>
      </c>
      <c r="L163" s="85">
        <f t="shared" si="34"/>
        <v>251.5655259357599</v>
      </c>
      <c r="M163" s="14">
        <v>500</v>
      </c>
      <c r="N163" s="1">
        <f t="shared" si="27"/>
        <v>250</v>
      </c>
      <c r="O163" s="1">
        <f t="shared" si="28"/>
        <v>16351.522222222087</v>
      </c>
      <c r="P163" s="15">
        <v>250</v>
      </c>
      <c r="Q163" s="1">
        <f t="shared" si="31"/>
        <v>365</v>
      </c>
      <c r="R163" s="1">
        <f t="shared" si="29"/>
        <v>23873.222444444247</v>
      </c>
      <c r="S163" s="1">
        <f t="shared" si="30"/>
        <v>14291.230422222103</v>
      </c>
      <c r="V163" s="1"/>
      <c r="W163" s="2"/>
      <c r="AB163" s="3"/>
      <c r="AC163" s="1"/>
      <c r="AD163" s="1"/>
    </row>
    <row r="164" spans="1:30" ht="12.75">
      <c r="A164">
        <f t="shared" si="32"/>
        <v>161</v>
      </c>
      <c r="D164" t="s">
        <v>30</v>
      </c>
      <c r="E164" s="23">
        <f t="shared" si="33"/>
        <v>162</v>
      </c>
      <c r="F164" s="1">
        <v>3500</v>
      </c>
      <c r="G164" s="3">
        <f>5730/F164</f>
        <v>1.6371428571428572</v>
      </c>
      <c r="H164" s="1">
        <v>6049.2756</v>
      </c>
      <c r="I164" s="1">
        <f t="shared" si="35"/>
        <v>1843.8192028800001</v>
      </c>
      <c r="J164" s="1">
        <f t="shared" si="25"/>
        <v>831395.4892999998</v>
      </c>
      <c r="K164" s="85">
        <f t="shared" si="26"/>
        <v>157.46126691287876</v>
      </c>
      <c r="L164" s="85">
        <f t="shared" si="34"/>
        <v>253.4093451386399</v>
      </c>
      <c r="M164" s="14">
        <v>0</v>
      </c>
      <c r="N164" s="1">
        <f t="shared" si="27"/>
        <v>250</v>
      </c>
      <c r="O164" s="1">
        <f t="shared" si="28"/>
        <v>67214.1733333339</v>
      </c>
      <c r="P164" s="15">
        <v>480</v>
      </c>
      <c r="Q164" s="1">
        <f t="shared" si="31"/>
        <v>365</v>
      </c>
      <c r="R164" s="1">
        <f t="shared" si="29"/>
        <v>98132.6930666675</v>
      </c>
      <c r="S164" s="1">
        <f t="shared" si="30"/>
        <v>58745.18749333383</v>
      </c>
      <c r="W164" s="2"/>
      <c r="Y164" s="1"/>
      <c r="Z164" s="1"/>
      <c r="AA164" s="1"/>
      <c r="AB164" s="3"/>
      <c r="AC164" s="1"/>
      <c r="AD164" s="1"/>
    </row>
    <row r="165" spans="1:30" ht="12.75">
      <c r="A165">
        <f t="shared" si="32"/>
        <v>162</v>
      </c>
      <c r="D165" t="s">
        <v>30</v>
      </c>
      <c r="E165" s="23">
        <f t="shared" si="33"/>
        <v>163</v>
      </c>
      <c r="F165" s="1"/>
      <c r="G165" s="3"/>
      <c r="H165" s="1">
        <v>1444.5555</v>
      </c>
      <c r="I165" s="1">
        <f t="shared" si="35"/>
        <v>440.3005164</v>
      </c>
      <c r="J165" s="1">
        <f t="shared" si="25"/>
        <v>832840.0447999998</v>
      </c>
      <c r="K165" s="85">
        <f t="shared" si="26"/>
        <v>157.73485696969692</v>
      </c>
      <c r="L165" s="85">
        <f t="shared" si="34"/>
        <v>253.8496456550399</v>
      </c>
      <c r="M165" s="14">
        <v>0</v>
      </c>
      <c r="N165" s="1">
        <f t="shared" si="27"/>
        <v>0</v>
      </c>
      <c r="O165" s="1">
        <f t="shared" si="28"/>
        <v>0</v>
      </c>
      <c r="P165" s="15">
        <v>480</v>
      </c>
      <c r="Q165" s="1">
        <f t="shared" si="31"/>
        <v>480</v>
      </c>
      <c r="R165" s="1">
        <f t="shared" si="29"/>
        <v>30817.184000000358</v>
      </c>
      <c r="S165" s="1">
        <f t="shared" si="30"/>
        <v>58552.649600000674</v>
      </c>
      <c r="W165" s="2"/>
      <c r="Y165" s="1"/>
      <c r="Z165" s="1"/>
      <c r="AA165" s="1"/>
      <c r="AB165" s="3"/>
      <c r="AC165" s="1"/>
      <c r="AD165" s="1"/>
    </row>
    <row r="166" spans="1:30" ht="12.75">
      <c r="A166">
        <f t="shared" si="32"/>
        <v>163</v>
      </c>
      <c r="D166" t="s">
        <v>30</v>
      </c>
      <c r="E166" s="23">
        <f t="shared" si="33"/>
        <v>164</v>
      </c>
      <c r="F166" s="1">
        <v>1910</v>
      </c>
      <c r="G166" s="3">
        <f>5730/F166</f>
        <v>3</v>
      </c>
      <c r="H166" s="1">
        <v>2154.3067</v>
      </c>
      <c r="I166" s="1">
        <f t="shared" si="35"/>
        <v>656.6326821600001</v>
      </c>
      <c r="J166" s="1">
        <f t="shared" si="25"/>
        <v>834994.3514999998</v>
      </c>
      <c r="K166" s="85">
        <f t="shared" si="26"/>
        <v>158.14286960227267</v>
      </c>
      <c r="L166" s="85">
        <f t="shared" si="34"/>
        <v>254.5062783371999</v>
      </c>
      <c r="M166" s="14">
        <v>1075</v>
      </c>
      <c r="N166" s="1">
        <f t="shared" si="27"/>
        <v>537.5</v>
      </c>
      <c r="O166" s="1">
        <f t="shared" si="28"/>
        <v>51463.99338888787</v>
      </c>
      <c r="P166" s="15">
        <v>127</v>
      </c>
      <c r="Q166" s="1">
        <f t="shared" si="31"/>
        <v>303.5</v>
      </c>
      <c r="R166" s="1">
        <f t="shared" si="29"/>
        <v>29059.20370888831</v>
      </c>
      <c r="S166" s="1">
        <f t="shared" si="30"/>
        <v>-42569.10039199916</v>
      </c>
      <c r="W166" s="2"/>
      <c r="Y166" s="1"/>
      <c r="Z166" s="1"/>
      <c r="AA166" s="1"/>
      <c r="AB166" s="3"/>
      <c r="AC166" s="1"/>
      <c r="AD166" s="1"/>
    </row>
    <row r="167" spans="1:30" ht="12.75">
      <c r="A167">
        <f t="shared" si="32"/>
        <v>164</v>
      </c>
      <c r="D167" t="s">
        <v>30</v>
      </c>
      <c r="E167" s="23">
        <f t="shared" si="33"/>
        <v>165</v>
      </c>
      <c r="F167" s="1"/>
      <c r="G167" s="3"/>
      <c r="H167" s="1">
        <v>1759.9372</v>
      </c>
      <c r="I167" s="1">
        <f t="shared" si="35"/>
        <v>536.4288585600001</v>
      </c>
      <c r="J167" s="1">
        <f t="shared" si="25"/>
        <v>836754.2886999998</v>
      </c>
      <c r="K167" s="85">
        <f t="shared" si="26"/>
        <v>158.47619104166662</v>
      </c>
      <c r="L167" s="85">
        <f t="shared" si="34"/>
        <v>255.04270719575987</v>
      </c>
      <c r="M167" s="14">
        <v>500</v>
      </c>
      <c r="N167" s="1">
        <f t="shared" si="27"/>
        <v>787.5</v>
      </c>
      <c r="O167" s="1">
        <f t="shared" si="28"/>
        <v>61597.80200000154</v>
      </c>
      <c r="P167" s="15">
        <v>250</v>
      </c>
      <c r="Q167" s="1">
        <f t="shared" si="31"/>
        <v>188.5</v>
      </c>
      <c r="R167" s="1">
        <f t="shared" si="29"/>
        <v>14744.362764444812</v>
      </c>
      <c r="S167" s="1">
        <f t="shared" si="30"/>
        <v>-89021.53454755778</v>
      </c>
      <c r="W167" s="2"/>
      <c r="Y167" s="1"/>
      <c r="Z167" s="1"/>
      <c r="AA167" s="1"/>
      <c r="AB167" s="3"/>
      <c r="AC167" s="1"/>
      <c r="AD167" s="1"/>
    </row>
    <row r="168" spans="1:30" ht="12.75">
      <c r="A168">
        <f t="shared" si="32"/>
        <v>165</v>
      </c>
      <c r="D168" t="s">
        <v>30</v>
      </c>
      <c r="E168" s="23">
        <f t="shared" si="33"/>
        <v>166</v>
      </c>
      <c r="F168" s="1">
        <v>2865</v>
      </c>
      <c r="G168" s="3">
        <f>5730/F168</f>
        <v>2</v>
      </c>
      <c r="H168" s="1">
        <v>1511.7344</v>
      </c>
      <c r="I168" s="1">
        <f t="shared" si="35"/>
        <v>460.77664512</v>
      </c>
      <c r="J168" s="1">
        <f t="shared" si="25"/>
        <v>838266.0230999998</v>
      </c>
      <c r="K168" s="85">
        <f t="shared" si="26"/>
        <v>158.76250437499996</v>
      </c>
      <c r="L168" s="85">
        <f t="shared" si="34"/>
        <v>255.50348384087988</v>
      </c>
      <c r="M168" s="14">
        <v>1075</v>
      </c>
      <c r="N168" s="1">
        <f t="shared" si="27"/>
        <v>787.5</v>
      </c>
      <c r="O168" s="1">
        <f t="shared" si="28"/>
        <v>52910.70399999851</v>
      </c>
      <c r="P168" s="15">
        <v>127</v>
      </c>
      <c r="Q168" s="1">
        <f t="shared" si="31"/>
        <v>188.5</v>
      </c>
      <c r="R168" s="1">
        <f t="shared" si="29"/>
        <v>12664.974862221865</v>
      </c>
      <c r="S168" s="1">
        <f t="shared" si="30"/>
        <v>-76466.88536177564</v>
      </c>
      <c r="W168" s="2"/>
      <c r="Y168" s="1"/>
      <c r="Z168" s="1"/>
      <c r="AA168" s="1"/>
      <c r="AB168" s="3"/>
      <c r="AC168" s="1"/>
      <c r="AD168" s="1"/>
    </row>
    <row r="169" spans="1:30" ht="12.75">
      <c r="A169">
        <f t="shared" si="32"/>
        <v>166</v>
      </c>
      <c r="D169" t="s">
        <v>30</v>
      </c>
      <c r="E169" s="23">
        <f t="shared" si="33"/>
        <v>167</v>
      </c>
      <c r="F169" s="1"/>
      <c r="G169" s="3"/>
      <c r="H169" s="1">
        <v>1067.43</v>
      </c>
      <c r="I169" s="1">
        <f t="shared" si="35"/>
        <v>325.35266400000006</v>
      </c>
      <c r="J169" s="1">
        <f t="shared" si="25"/>
        <v>839333.4530999998</v>
      </c>
      <c r="K169" s="85">
        <f t="shared" si="26"/>
        <v>158.96466914772725</v>
      </c>
      <c r="L169" s="85">
        <f t="shared" si="34"/>
        <v>255.8288365048799</v>
      </c>
      <c r="M169" s="14">
        <v>1075</v>
      </c>
      <c r="N169" s="1">
        <f t="shared" si="27"/>
        <v>1075</v>
      </c>
      <c r="O169" s="1">
        <f t="shared" si="28"/>
        <v>50999.43333333578</v>
      </c>
      <c r="P169" s="15">
        <v>127</v>
      </c>
      <c r="Q169" s="1">
        <f t="shared" si="31"/>
        <v>127</v>
      </c>
      <c r="R169" s="1">
        <f t="shared" si="29"/>
        <v>6025.0493333336235</v>
      </c>
      <c r="S169" s="1">
        <f t="shared" si="30"/>
        <v>-85451.3296000041</v>
      </c>
      <c r="W169" s="2"/>
      <c r="Y169" s="1"/>
      <c r="Z169" s="1"/>
      <c r="AA169" s="1"/>
      <c r="AB169" s="3"/>
      <c r="AC169" s="1"/>
      <c r="AD169" s="1"/>
    </row>
    <row r="170" spans="1:30" ht="12.75">
      <c r="A170">
        <f t="shared" si="32"/>
        <v>167</v>
      </c>
      <c r="D170" t="s">
        <v>30</v>
      </c>
      <c r="E170" s="23">
        <f t="shared" si="33"/>
        <v>168</v>
      </c>
      <c r="F170" s="1">
        <v>2292</v>
      </c>
      <c r="G170" s="3">
        <f>5730/F170</f>
        <v>2.5</v>
      </c>
      <c r="H170" s="1">
        <v>3945.0842</v>
      </c>
      <c r="I170" s="1">
        <f t="shared" si="35"/>
        <v>1202.46166416</v>
      </c>
      <c r="J170" s="1">
        <f t="shared" si="25"/>
        <v>843278.5372999999</v>
      </c>
      <c r="K170" s="85">
        <f t="shared" si="26"/>
        <v>159.71184418560603</v>
      </c>
      <c r="L170" s="85">
        <f t="shared" si="34"/>
        <v>257.03129816903987</v>
      </c>
      <c r="M170" s="14">
        <v>0</v>
      </c>
      <c r="N170" s="1">
        <f t="shared" si="27"/>
        <v>537.5</v>
      </c>
      <c r="O170" s="1">
        <f t="shared" si="28"/>
        <v>94243.6781111121</v>
      </c>
      <c r="P170" s="15">
        <v>480</v>
      </c>
      <c r="Q170" s="1">
        <f t="shared" si="31"/>
        <v>303.5</v>
      </c>
      <c r="R170" s="1">
        <f t="shared" si="29"/>
        <v>53214.80243111166</v>
      </c>
      <c r="S170" s="1">
        <f t="shared" si="30"/>
        <v>-77954.86379200082</v>
      </c>
      <c r="W170" s="2"/>
      <c r="Y170" s="1"/>
      <c r="Z170" s="1"/>
      <c r="AA170" s="1"/>
      <c r="AB170" s="3"/>
      <c r="AC170" s="1"/>
      <c r="AD170" s="1"/>
    </row>
    <row r="171" spans="1:30" ht="12.75">
      <c r="A171">
        <f t="shared" si="32"/>
        <v>168</v>
      </c>
      <c r="D171" t="s">
        <v>30</v>
      </c>
      <c r="E171" s="23">
        <f t="shared" si="33"/>
        <v>169</v>
      </c>
      <c r="F171" s="1"/>
      <c r="G171" s="3"/>
      <c r="H171" s="1">
        <v>3536.3947</v>
      </c>
      <c r="I171" s="1">
        <f t="shared" si="35"/>
        <v>1077.89310456</v>
      </c>
      <c r="J171" s="1">
        <f t="shared" si="25"/>
        <v>846814.9319999998</v>
      </c>
      <c r="K171" s="85">
        <f t="shared" si="26"/>
        <v>160.38161590909087</v>
      </c>
      <c r="L171" s="85">
        <f t="shared" si="34"/>
        <v>258.1091912735999</v>
      </c>
      <c r="M171" s="14">
        <v>0</v>
      </c>
      <c r="N171" s="1">
        <f t="shared" si="27"/>
        <v>0</v>
      </c>
      <c r="O171" s="1">
        <f t="shared" si="28"/>
        <v>0</v>
      </c>
      <c r="P171" s="15">
        <v>480</v>
      </c>
      <c r="Q171" s="1">
        <f t="shared" si="31"/>
        <v>480</v>
      </c>
      <c r="R171" s="1">
        <f t="shared" si="29"/>
        <v>75443.08693333219</v>
      </c>
      <c r="S171" s="1">
        <f t="shared" si="30"/>
        <v>143341.86517333114</v>
      </c>
      <c r="W171" s="2"/>
      <c r="Y171" s="1"/>
      <c r="Z171" s="1"/>
      <c r="AA171" s="1"/>
      <c r="AB171" s="3"/>
      <c r="AC171" s="1"/>
      <c r="AD171" s="1"/>
    </row>
    <row r="172" spans="1:30" ht="12.75">
      <c r="A172">
        <f t="shared" si="32"/>
        <v>169</v>
      </c>
      <c r="D172" t="s">
        <v>30</v>
      </c>
      <c r="E172" s="23">
        <f t="shared" si="33"/>
        <v>170</v>
      </c>
      <c r="F172" s="1">
        <v>5730</v>
      </c>
      <c r="G172" s="3">
        <f>5730/F172</f>
        <v>1</v>
      </c>
      <c r="H172" s="1">
        <v>8541.1062</v>
      </c>
      <c r="I172" s="1">
        <f t="shared" si="35"/>
        <v>2603.3291697600002</v>
      </c>
      <c r="J172" s="1">
        <f t="shared" si="25"/>
        <v>855356.0381999998</v>
      </c>
      <c r="K172" s="85">
        <f t="shared" si="26"/>
        <v>161.99924965909088</v>
      </c>
      <c r="L172" s="85">
        <f t="shared" si="34"/>
        <v>260.7125204433599</v>
      </c>
      <c r="M172" s="14">
        <v>1075</v>
      </c>
      <c r="N172" s="1">
        <f t="shared" si="27"/>
        <v>537.5</v>
      </c>
      <c r="O172" s="1">
        <f t="shared" si="28"/>
        <v>204037.5370000009</v>
      </c>
      <c r="P172" s="15">
        <v>127</v>
      </c>
      <c r="Q172" s="1">
        <f t="shared" si="31"/>
        <v>303.5</v>
      </c>
      <c r="R172" s="1">
        <f t="shared" si="29"/>
        <v>115210.03252000052</v>
      </c>
      <c r="S172" s="1">
        <f t="shared" si="30"/>
        <v>-168772.25851200076</v>
      </c>
      <c r="W172" s="2"/>
      <c r="Y172" s="1"/>
      <c r="Z172" s="1"/>
      <c r="AA172" s="1"/>
      <c r="AB172" s="3"/>
      <c r="AC172" s="1"/>
      <c r="AD172" s="1"/>
    </row>
    <row r="173" spans="1:30" ht="12.75">
      <c r="A173">
        <f t="shared" si="32"/>
        <v>170</v>
      </c>
      <c r="D173" t="s">
        <v>30</v>
      </c>
      <c r="E173" s="23">
        <f t="shared" si="33"/>
        <v>171</v>
      </c>
      <c r="F173" s="1"/>
      <c r="G173" s="3"/>
      <c r="H173" s="1">
        <v>1364.3414</v>
      </c>
      <c r="I173" s="1">
        <f t="shared" si="35"/>
        <v>415.85125872000003</v>
      </c>
      <c r="J173" s="1">
        <f t="shared" si="25"/>
        <v>856720.3795999999</v>
      </c>
      <c r="K173" s="85">
        <f t="shared" si="26"/>
        <v>162.25764765151513</v>
      </c>
      <c r="L173" s="85">
        <f t="shared" si="34"/>
        <v>261.1283717020799</v>
      </c>
      <c r="M173" s="14">
        <v>0</v>
      </c>
      <c r="N173" s="1">
        <f t="shared" si="27"/>
        <v>537.5</v>
      </c>
      <c r="O173" s="1">
        <f t="shared" si="28"/>
        <v>32592.600111111922</v>
      </c>
      <c r="P173" s="15">
        <v>480</v>
      </c>
      <c r="Q173" s="1">
        <f t="shared" si="31"/>
        <v>303.5</v>
      </c>
      <c r="R173" s="1">
        <f t="shared" si="29"/>
        <v>18403.449551111567</v>
      </c>
      <c r="S173" s="1">
        <f t="shared" si="30"/>
        <v>-26959.38606400067</v>
      </c>
      <c r="W173" s="2"/>
      <c r="Y173" s="1"/>
      <c r="Z173" s="1"/>
      <c r="AA173" s="1"/>
      <c r="AB173" s="3"/>
      <c r="AC173" s="1"/>
      <c r="AD173" s="1"/>
    </row>
    <row r="174" spans="1:30" ht="12.75">
      <c r="A174">
        <f t="shared" si="32"/>
        <v>171</v>
      </c>
      <c r="D174" t="s">
        <v>30</v>
      </c>
      <c r="E174" s="23">
        <f t="shared" si="33"/>
        <v>172</v>
      </c>
      <c r="F174" s="1">
        <v>2865</v>
      </c>
      <c r="G174" s="3">
        <f>5730/F174</f>
        <v>2</v>
      </c>
      <c r="H174" s="1">
        <v>3299.3897</v>
      </c>
      <c r="I174" s="1">
        <f t="shared" si="35"/>
        <v>1005.6539805600002</v>
      </c>
      <c r="J174" s="1">
        <f t="shared" si="25"/>
        <v>860019.7692999999</v>
      </c>
      <c r="K174" s="85">
        <f t="shared" si="26"/>
        <v>162.88253206439393</v>
      </c>
      <c r="L174" s="85">
        <f t="shared" si="34"/>
        <v>262.1340256826399</v>
      </c>
      <c r="M174" s="14">
        <v>0</v>
      </c>
      <c r="N174" s="1">
        <f t="shared" si="27"/>
        <v>0</v>
      </c>
      <c r="O174" s="1">
        <f t="shared" si="28"/>
        <v>0</v>
      </c>
      <c r="P174" s="15">
        <v>480</v>
      </c>
      <c r="Q174" s="1">
        <f t="shared" si="31"/>
        <v>480</v>
      </c>
      <c r="R174" s="1">
        <f t="shared" si="29"/>
        <v>70386.9802666679</v>
      </c>
      <c r="S174" s="1">
        <f t="shared" si="30"/>
        <v>133735.262506669</v>
      </c>
      <c r="W174" s="2"/>
      <c r="Y174" s="1"/>
      <c r="Z174" s="1"/>
      <c r="AA174" s="1"/>
      <c r="AB174" s="3"/>
      <c r="AC174" s="1"/>
      <c r="AD174" s="1"/>
    </row>
    <row r="175" spans="1:30" ht="12.75">
      <c r="A175">
        <f t="shared" si="32"/>
        <v>172</v>
      </c>
      <c r="D175" s="1" t="s">
        <v>30</v>
      </c>
      <c r="E175" s="23">
        <f t="shared" si="33"/>
        <v>173</v>
      </c>
      <c r="F175" s="1"/>
      <c r="G175" s="3"/>
      <c r="H175" s="1">
        <v>4146.6522</v>
      </c>
      <c r="I175" s="1">
        <f t="shared" si="35"/>
        <v>1263.8995905600002</v>
      </c>
      <c r="J175" s="1">
        <f t="shared" si="25"/>
        <v>864166.4214999999</v>
      </c>
      <c r="K175" s="85">
        <f t="shared" si="26"/>
        <v>163.66788285984848</v>
      </c>
      <c r="L175" s="85">
        <f t="shared" si="34"/>
        <v>263.3979252731999</v>
      </c>
      <c r="M175" s="14">
        <v>1075</v>
      </c>
      <c r="N175" s="1">
        <f t="shared" si="27"/>
        <v>537.5</v>
      </c>
      <c r="O175" s="1">
        <f t="shared" si="28"/>
        <v>99058.91366666694</v>
      </c>
      <c r="P175" s="15">
        <v>127</v>
      </c>
      <c r="Q175" s="1">
        <f t="shared" si="31"/>
        <v>303.5</v>
      </c>
      <c r="R175" s="1">
        <f t="shared" si="29"/>
        <v>55933.73078666682</v>
      </c>
      <c r="S175" s="1">
        <f t="shared" si="30"/>
        <v>-81937.84747200021</v>
      </c>
      <c r="W175" s="2"/>
      <c r="Y175" s="1"/>
      <c r="Z175" s="1"/>
      <c r="AA175" s="1"/>
      <c r="AB175" s="3"/>
      <c r="AC175" s="1"/>
      <c r="AD175" s="1"/>
    </row>
    <row r="176" spans="1:30" ht="12.75">
      <c r="A176">
        <f t="shared" si="32"/>
        <v>173</v>
      </c>
      <c r="D176" t="s">
        <v>30</v>
      </c>
      <c r="E176" s="23">
        <f t="shared" si="33"/>
        <v>174</v>
      </c>
      <c r="F176" s="1">
        <v>5730</v>
      </c>
      <c r="G176" s="3">
        <f>5730/F176</f>
        <v>1</v>
      </c>
      <c r="H176" s="1">
        <v>4606.6861</v>
      </c>
      <c r="I176" s="1">
        <f t="shared" si="35"/>
        <v>1404.11792328</v>
      </c>
      <c r="J176" s="1">
        <f aca="true" t="shared" si="36" ref="J176:J187">+J175+H176</f>
        <v>868773.1076</v>
      </c>
      <c r="K176" s="85">
        <f t="shared" si="26"/>
        <v>164.5403612878788</v>
      </c>
      <c r="L176" s="85">
        <f t="shared" si="34"/>
        <v>264.80204319647993</v>
      </c>
      <c r="M176" s="14">
        <v>170</v>
      </c>
      <c r="N176" s="1">
        <f aca="true" t="shared" si="37" ref="N176:N187">+(M175+M176)/2</f>
        <v>622.5</v>
      </c>
      <c r="O176" s="1">
        <f aca="true" t="shared" si="38" ref="O176:O187">1.2*N176*(J176-J175)/27</f>
        <v>127451.64876666805</v>
      </c>
      <c r="P176" s="15">
        <v>126</v>
      </c>
      <c r="Q176" s="1">
        <f aca="true" t="shared" si="39" ref="Q176:Q207">+(P175+P176)/2</f>
        <v>126.5</v>
      </c>
      <c r="R176" s="1">
        <f aca="true" t="shared" si="40" ref="R176:R187">1.2*Q176*(J176-J175)/27</f>
        <v>25899.8129622225</v>
      </c>
      <c r="S176" s="1">
        <f aca="true" t="shared" si="41" ref="S176:S187">1.9*(R176-O176)</f>
        <v>-192948.48802844653</v>
      </c>
      <c r="W176" s="2"/>
      <c r="Y176" s="1"/>
      <c r="Z176" s="1"/>
      <c r="AA176" s="1"/>
      <c r="AB176" s="3"/>
      <c r="AC176" s="1"/>
      <c r="AD176" s="1"/>
    </row>
    <row r="177" spans="1:30" ht="12.75">
      <c r="A177">
        <f t="shared" si="32"/>
        <v>174</v>
      </c>
      <c r="D177" t="s">
        <v>30</v>
      </c>
      <c r="E177" s="23">
        <f t="shared" si="33"/>
        <v>175</v>
      </c>
      <c r="F177" s="1"/>
      <c r="G177" s="3"/>
      <c r="H177" s="1">
        <v>980.8886</v>
      </c>
      <c r="I177" s="1">
        <f t="shared" si="35"/>
        <v>298.97484528</v>
      </c>
      <c r="J177" s="1">
        <f t="shared" si="36"/>
        <v>869753.9961999999</v>
      </c>
      <c r="K177" s="85">
        <f aca="true" t="shared" si="42" ref="K177:K187">+J177/5280</f>
        <v>164.7261356439394</v>
      </c>
      <c r="L177" s="85">
        <f t="shared" si="34"/>
        <v>265.1010180417599</v>
      </c>
      <c r="M177" s="14">
        <v>170</v>
      </c>
      <c r="N177" s="1">
        <f t="shared" si="37"/>
        <v>170</v>
      </c>
      <c r="O177" s="1">
        <f t="shared" si="38"/>
        <v>7411.158311110714</v>
      </c>
      <c r="P177" s="15">
        <v>126</v>
      </c>
      <c r="Q177" s="1">
        <f t="shared" si="39"/>
        <v>126</v>
      </c>
      <c r="R177" s="1">
        <f t="shared" si="40"/>
        <v>5492.9761599997055</v>
      </c>
      <c r="S177" s="1">
        <f t="shared" si="41"/>
        <v>-3644.546087110916</v>
      </c>
      <c r="W177" s="2"/>
      <c r="Y177" s="1"/>
      <c r="Z177" s="1"/>
      <c r="AA177" s="1"/>
      <c r="AB177" s="3"/>
      <c r="AC177" s="1"/>
      <c r="AD177" s="1"/>
    </row>
    <row r="178" spans="1:30" ht="12.75">
      <c r="A178">
        <f t="shared" si="32"/>
        <v>175</v>
      </c>
      <c r="D178" t="s">
        <v>30</v>
      </c>
      <c r="E178" s="23">
        <f t="shared" si="33"/>
        <v>176</v>
      </c>
      <c r="F178" s="1">
        <v>2865</v>
      </c>
      <c r="G178" s="3">
        <f>5730/F178</f>
        <v>2</v>
      </c>
      <c r="H178" s="1">
        <v>876.1475</v>
      </c>
      <c r="I178" s="1">
        <f t="shared" si="35"/>
        <v>267.049758</v>
      </c>
      <c r="J178" s="1">
        <f t="shared" si="36"/>
        <v>870630.1436999999</v>
      </c>
      <c r="K178" s="85">
        <f t="shared" si="42"/>
        <v>164.89207267045452</v>
      </c>
      <c r="L178" s="85">
        <f t="shared" si="34"/>
        <v>265.3680677997599</v>
      </c>
      <c r="M178" s="14">
        <v>170</v>
      </c>
      <c r="N178" s="1">
        <f t="shared" si="37"/>
        <v>170</v>
      </c>
      <c r="O178" s="1">
        <f t="shared" si="38"/>
        <v>6619.781111110829</v>
      </c>
      <c r="P178" s="15">
        <v>126</v>
      </c>
      <c r="Q178" s="1">
        <f t="shared" si="39"/>
        <v>126</v>
      </c>
      <c r="R178" s="1">
        <f t="shared" si="40"/>
        <v>4906.425999999791</v>
      </c>
      <c r="S178" s="1">
        <f t="shared" si="41"/>
        <v>-3255.3747111109724</v>
      </c>
      <c r="W178" s="2"/>
      <c r="Y178" s="1"/>
      <c r="Z178" s="1"/>
      <c r="AA178" s="1"/>
      <c r="AB178" s="3"/>
      <c r="AC178" s="1"/>
      <c r="AD178" s="1"/>
    </row>
    <row r="179" spans="1:30" ht="12.75">
      <c r="A179">
        <f t="shared" si="32"/>
        <v>176</v>
      </c>
      <c r="D179" t="s">
        <v>30</v>
      </c>
      <c r="E179" s="23">
        <f t="shared" si="33"/>
        <v>177</v>
      </c>
      <c r="F179" s="1"/>
      <c r="G179" s="3"/>
      <c r="H179" s="1">
        <v>3957.83</v>
      </c>
      <c r="I179" s="1">
        <f t="shared" si="35"/>
        <v>1206.3465840000001</v>
      </c>
      <c r="J179" s="1">
        <f t="shared" si="36"/>
        <v>874587.9736999999</v>
      </c>
      <c r="K179" s="85">
        <f t="shared" si="42"/>
        <v>165.64166168560604</v>
      </c>
      <c r="L179" s="85">
        <f t="shared" si="34"/>
        <v>266.5744143837599</v>
      </c>
      <c r="M179" s="14">
        <v>1075</v>
      </c>
      <c r="N179" s="1">
        <f t="shared" si="37"/>
        <v>622.5</v>
      </c>
      <c r="O179" s="1">
        <f t="shared" si="38"/>
        <v>109499.96333333217</v>
      </c>
      <c r="P179" s="15">
        <v>127</v>
      </c>
      <c r="Q179" s="1">
        <f t="shared" si="39"/>
        <v>126.5</v>
      </c>
      <c r="R179" s="1">
        <f t="shared" si="40"/>
        <v>22251.799777777538</v>
      </c>
      <c r="S179" s="1">
        <f t="shared" si="41"/>
        <v>-165771.5107555538</v>
      </c>
      <c r="W179" s="2"/>
      <c r="Y179" s="1"/>
      <c r="Z179" s="1"/>
      <c r="AA179" s="1"/>
      <c r="AB179" s="3"/>
      <c r="AC179" s="1"/>
      <c r="AD179" s="1"/>
    </row>
    <row r="180" spans="1:30" ht="12.75">
      <c r="A180">
        <f t="shared" si="32"/>
        <v>177</v>
      </c>
      <c r="D180" t="s">
        <v>30</v>
      </c>
      <c r="E180" s="23">
        <f t="shared" si="33"/>
        <v>178</v>
      </c>
      <c r="F180" s="1">
        <v>2865</v>
      </c>
      <c r="G180" s="3">
        <f>5730/F180</f>
        <v>2</v>
      </c>
      <c r="H180" s="1">
        <v>1586.9394</v>
      </c>
      <c r="I180" s="1">
        <f t="shared" si="35"/>
        <v>483.69912912</v>
      </c>
      <c r="J180" s="1">
        <f t="shared" si="36"/>
        <v>876174.9130999999</v>
      </c>
      <c r="K180" s="85">
        <f t="shared" si="42"/>
        <v>165.94221839015148</v>
      </c>
      <c r="L180" s="85">
        <f t="shared" si="34"/>
        <v>267.0581135128799</v>
      </c>
      <c r="M180" s="14">
        <v>1075</v>
      </c>
      <c r="N180" s="1">
        <f t="shared" si="37"/>
        <v>1075</v>
      </c>
      <c r="O180" s="1">
        <f t="shared" si="38"/>
        <v>75820.43800000154</v>
      </c>
      <c r="P180" s="15">
        <v>127</v>
      </c>
      <c r="Q180" s="1">
        <f t="shared" si="39"/>
        <v>127</v>
      </c>
      <c r="R180" s="1">
        <f t="shared" si="40"/>
        <v>8957.391280000182</v>
      </c>
      <c r="S180" s="1">
        <f t="shared" si="41"/>
        <v>-127039.78876800256</v>
      </c>
      <c r="W180" s="2"/>
      <c r="Y180" s="1"/>
      <c r="Z180" s="1"/>
      <c r="AA180" s="1"/>
      <c r="AB180" s="3"/>
      <c r="AC180" s="1"/>
      <c r="AD180" s="1"/>
    </row>
    <row r="181" spans="1:30" ht="12.75">
      <c r="A181">
        <f t="shared" si="32"/>
        <v>178</v>
      </c>
      <c r="D181" t="s">
        <v>30</v>
      </c>
      <c r="E181" s="23">
        <f t="shared" si="33"/>
        <v>179</v>
      </c>
      <c r="F181" s="1"/>
      <c r="G181" s="3"/>
      <c r="H181" s="1">
        <v>2732.9447</v>
      </c>
      <c r="I181" s="1">
        <f t="shared" si="35"/>
        <v>833.0015445600001</v>
      </c>
      <c r="J181" s="1">
        <f t="shared" si="36"/>
        <v>878907.8577999999</v>
      </c>
      <c r="K181" s="85">
        <f t="shared" si="42"/>
        <v>166.45982155303028</v>
      </c>
      <c r="L181" s="85">
        <f t="shared" si="34"/>
        <v>267.8911150574399</v>
      </c>
      <c r="M181" s="14">
        <v>170</v>
      </c>
      <c r="N181" s="1">
        <f t="shared" si="37"/>
        <v>622.5</v>
      </c>
      <c r="O181" s="1">
        <f t="shared" si="38"/>
        <v>75611.47003333314</v>
      </c>
      <c r="P181" s="15">
        <v>126</v>
      </c>
      <c r="Q181" s="1">
        <f t="shared" si="39"/>
        <v>126.5</v>
      </c>
      <c r="R181" s="1">
        <f t="shared" si="40"/>
        <v>15365.222424444402</v>
      </c>
      <c r="S181" s="1">
        <f t="shared" si="41"/>
        <v>-114467.8704568886</v>
      </c>
      <c r="V181" s="1"/>
      <c r="W181" s="2"/>
      <c r="AB181" s="3"/>
      <c r="AC181" s="1"/>
      <c r="AD181" s="1"/>
    </row>
    <row r="182" spans="1:30" ht="12.75">
      <c r="A182">
        <f t="shared" si="32"/>
        <v>179</v>
      </c>
      <c r="D182" t="s">
        <v>30</v>
      </c>
      <c r="E182" s="23">
        <f t="shared" si="33"/>
        <v>180</v>
      </c>
      <c r="F182" s="1">
        <v>2865</v>
      </c>
      <c r="G182" s="3">
        <f>5730/F182</f>
        <v>2</v>
      </c>
      <c r="H182" s="1">
        <v>1898.7235</v>
      </c>
      <c r="I182" s="1">
        <f t="shared" si="35"/>
        <v>578.7309228</v>
      </c>
      <c r="J182" s="1">
        <f t="shared" si="36"/>
        <v>880806.5812999998</v>
      </c>
      <c r="K182" s="85">
        <f t="shared" si="42"/>
        <v>166.8194282765151</v>
      </c>
      <c r="L182" s="85">
        <f t="shared" si="34"/>
        <v>268.4698459802399</v>
      </c>
      <c r="M182" s="14">
        <v>170</v>
      </c>
      <c r="N182" s="1">
        <f t="shared" si="37"/>
        <v>170</v>
      </c>
      <c r="O182" s="1">
        <f t="shared" si="38"/>
        <v>14345.910888888615</v>
      </c>
      <c r="P182" s="15">
        <v>126</v>
      </c>
      <c r="Q182" s="1">
        <f t="shared" si="39"/>
        <v>126</v>
      </c>
      <c r="R182" s="1">
        <f t="shared" si="40"/>
        <v>10632.851599999796</v>
      </c>
      <c r="S182" s="1">
        <f t="shared" si="41"/>
        <v>-7054.812648888755</v>
      </c>
      <c r="W182" s="2"/>
      <c r="Y182" s="1"/>
      <c r="Z182" s="1"/>
      <c r="AA182" s="1"/>
      <c r="AB182" s="3"/>
      <c r="AC182" s="1"/>
      <c r="AD182" s="1"/>
    </row>
    <row r="183" spans="1:30" ht="12.75">
      <c r="A183">
        <f t="shared" si="32"/>
        <v>180</v>
      </c>
      <c r="D183" t="s">
        <v>30</v>
      </c>
      <c r="E183" s="23">
        <f t="shared" si="33"/>
        <v>181</v>
      </c>
      <c r="F183" s="1"/>
      <c r="G183" s="3"/>
      <c r="H183" s="1">
        <v>3516.7814</v>
      </c>
      <c r="I183" s="1">
        <f t="shared" si="35"/>
        <v>1071.91497072</v>
      </c>
      <c r="J183" s="1">
        <f t="shared" si="36"/>
        <v>884323.3626999998</v>
      </c>
      <c r="K183" s="85">
        <f t="shared" si="42"/>
        <v>167.48548535984844</v>
      </c>
      <c r="L183" s="85">
        <f t="shared" si="34"/>
        <v>269.5417609509599</v>
      </c>
      <c r="M183" s="14">
        <v>1075</v>
      </c>
      <c r="N183" s="1">
        <f t="shared" si="37"/>
        <v>622.5</v>
      </c>
      <c r="O183" s="1">
        <f t="shared" si="38"/>
        <v>97297.61873333274</v>
      </c>
      <c r="P183" s="15">
        <v>127</v>
      </c>
      <c r="Q183" s="1">
        <f t="shared" si="39"/>
        <v>126.5</v>
      </c>
      <c r="R183" s="1">
        <f t="shared" si="40"/>
        <v>19772.12653777765</v>
      </c>
      <c r="S183" s="1">
        <f t="shared" si="41"/>
        <v>-147298.43517155468</v>
      </c>
      <c r="W183" s="2"/>
      <c r="Y183" s="1"/>
      <c r="Z183" s="1"/>
      <c r="AA183" s="1"/>
      <c r="AB183" s="3"/>
      <c r="AC183" s="1"/>
      <c r="AD183" s="1"/>
    </row>
    <row r="184" spans="1:30" ht="12.75">
      <c r="A184">
        <f t="shared" si="32"/>
        <v>181</v>
      </c>
      <c r="C184" s="1"/>
      <c r="D184" t="s">
        <v>30</v>
      </c>
      <c r="E184" s="23">
        <f t="shared" si="33"/>
        <v>182</v>
      </c>
      <c r="F184" s="1">
        <v>2865</v>
      </c>
      <c r="G184" s="3">
        <f>5730/F184</f>
        <v>2</v>
      </c>
      <c r="H184" s="1">
        <v>2037.6603</v>
      </c>
      <c r="I184" s="1">
        <f t="shared" si="35"/>
        <v>621.0788594400001</v>
      </c>
      <c r="J184" s="1">
        <f t="shared" si="36"/>
        <v>886361.0229999998</v>
      </c>
      <c r="K184" s="85">
        <f t="shared" si="42"/>
        <v>167.8714058712121</v>
      </c>
      <c r="L184" s="85">
        <f t="shared" si="34"/>
        <v>270.1628398103999</v>
      </c>
      <c r="M184" s="14">
        <v>0</v>
      </c>
      <c r="N184" s="1">
        <f t="shared" si="37"/>
        <v>537.5</v>
      </c>
      <c r="O184" s="1">
        <f t="shared" si="38"/>
        <v>48677.440499999735</v>
      </c>
      <c r="P184" s="15">
        <v>480</v>
      </c>
      <c r="Q184" s="1">
        <f t="shared" si="39"/>
        <v>303.5</v>
      </c>
      <c r="R184" s="1">
        <f t="shared" si="40"/>
        <v>27485.773379999846</v>
      </c>
      <c r="S184" s="1">
        <f t="shared" si="41"/>
        <v>-40264.16752799979</v>
      </c>
      <c r="W184" s="2"/>
      <c r="Y184" s="1"/>
      <c r="Z184" s="1"/>
      <c r="AA184" s="1"/>
      <c r="AB184" s="3"/>
      <c r="AC184" s="1"/>
      <c r="AD184" s="1"/>
    </row>
    <row r="185" spans="1:30" ht="12.75">
      <c r="A185">
        <f t="shared" si="32"/>
        <v>182</v>
      </c>
      <c r="B185" s="1"/>
      <c r="C185" s="1"/>
      <c r="D185" t="s">
        <v>30</v>
      </c>
      <c r="E185" s="23">
        <f t="shared" si="33"/>
        <v>183</v>
      </c>
      <c r="F185" s="1"/>
      <c r="G185" s="3"/>
      <c r="H185" s="1">
        <v>2545.976</v>
      </c>
      <c r="I185" s="1">
        <f t="shared" si="35"/>
        <v>776.0134848000001</v>
      </c>
      <c r="J185" s="1">
        <f t="shared" si="36"/>
        <v>888906.9989999998</v>
      </c>
      <c r="K185" s="85">
        <f t="shared" si="42"/>
        <v>168.3535982954545</v>
      </c>
      <c r="L185" s="85">
        <f t="shared" si="34"/>
        <v>270.93885329519986</v>
      </c>
      <c r="M185" s="14">
        <v>0</v>
      </c>
      <c r="N185" s="1">
        <f t="shared" si="37"/>
        <v>0</v>
      </c>
      <c r="O185" s="1">
        <f t="shared" si="38"/>
        <v>0</v>
      </c>
      <c r="P185" s="15">
        <v>480</v>
      </c>
      <c r="Q185" s="1">
        <f t="shared" si="39"/>
        <v>480</v>
      </c>
      <c r="R185" s="1">
        <f t="shared" si="40"/>
        <v>54314.154666667186</v>
      </c>
      <c r="S185" s="1">
        <f t="shared" si="41"/>
        <v>103196.89386666765</v>
      </c>
      <c r="W185" s="2"/>
      <c r="Y185" s="1"/>
      <c r="Z185" s="1"/>
      <c r="AA185" s="1"/>
      <c r="AB185" s="3"/>
      <c r="AC185" s="1"/>
      <c r="AD185" s="1"/>
    </row>
    <row r="186" spans="1:30" ht="12.75">
      <c r="A186">
        <f t="shared" si="32"/>
        <v>183</v>
      </c>
      <c r="D186" t="s">
        <v>30</v>
      </c>
      <c r="E186" s="23">
        <f t="shared" si="33"/>
        <v>184</v>
      </c>
      <c r="F186" s="1">
        <v>2865</v>
      </c>
      <c r="G186" s="3">
        <f>5730/F186</f>
        <v>2</v>
      </c>
      <c r="H186" s="1">
        <v>2436.3834</v>
      </c>
      <c r="I186" s="1">
        <f t="shared" si="35"/>
        <v>742.6096603200001</v>
      </c>
      <c r="J186" s="1">
        <f t="shared" si="36"/>
        <v>891343.3823999999</v>
      </c>
      <c r="K186" s="85">
        <f t="shared" si="42"/>
        <v>168.81503454545452</v>
      </c>
      <c r="L186" s="85">
        <f t="shared" si="34"/>
        <v>271.68146295551986</v>
      </c>
      <c r="M186" s="14">
        <v>0</v>
      </c>
      <c r="N186" s="1">
        <f t="shared" si="37"/>
        <v>0</v>
      </c>
      <c r="O186" s="1">
        <f t="shared" si="38"/>
        <v>0</v>
      </c>
      <c r="P186" s="15">
        <v>480</v>
      </c>
      <c r="Q186" s="1">
        <f t="shared" si="39"/>
        <v>480</v>
      </c>
      <c r="R186" s="1">
        <f t="shared" si="40"/>
        <v>51976.17920000106</v>
      </c>
      <c r="S186" s="1">
        <f t="shared" si="41"/>
        <v>98754.74048000202</v>
      </c>
      <c r="W186" s="2"/>
      <c r="Y186" s="1"/>
      <c r="Z186" s="1"/>
      <c r="AA186" s="1"/>
      <c r="AB186" s="3"/>
      <c r="AC186" s="1"/>
      <c r="AD186" s="1"/>
    </row>
    <row r="187" spans="1:30" ht="12.75">
      <c r="A187">
        <f t="shared" si="32"/>
        <v>184</v>
      </c>
      <c r="D187" t="s">
        <v>30</v>
      </c>
      <c r="E187" s="23">
        <f t="shared" si="33"/>
        <v>185</v>
      </c>
      <c r="F187" s="1"/>
      <c r="G187" s="3"/>
      <c r="H187" s="1">
        <v>4134.9223</v>
      </c>
      <c r="I187" s="1">
        <f t="shared" si="35"/>
        <v>1260.32431704</v>
      </c>
      <c r="J187" s="1">
        <f t="shared" si="36"/>
        <v>895478.3046999999</v>
      </c>
      <c r="K187" s="85">
        <f t="shared" si="42"/>
        <v>169.59816376893937</v>
      </c>
      <c r="L187" s="85">
        <f t="shared" si="34"/>
        <v>272.94178727255985</v>
      </c>
      <c r="M187" s="14">
        <v>0</v>
      </c>
      <c r="N187" s="1">
        <f t="shared" si="37"/>
        <v>0</v>
      </c>
      <c r="O187" s="1">
        <f t="shared" si="38"/>
        <v>0</v>
      </c>
      <c r="P187" s="15">
        <v>480</v>
      </c>
      <c r="Q187" s="1">
        <f t="shared" si="39"/>
        <v>480</v>
      </c>
      <c r="R187" s="1">
        <f t="shared" si="40"/>
        <v>88211.67573333283</v>
      </c>
      <c r="S187" s="1">
        <f t="shared" si="41"/>
        <v>167602.18389333237</v>
      </c>
      <c r="W187" s="2"/>
      <c r="Y187" s="1"/>
      <c r="Z187" s="1"/>
      <c r="AA187" s="1"/>
      <c r="AB187" s="3"/>
      <c r="AC187" s="1"/>
      <c r="AD187" s="1"/>
    </row>
    <row r="188" spans="1:30" ht="12.75">
      <c r="A188">
        <f t="shared" si="32"/>
        <v>185</v>
      </c>
      <c r="D188" t="s">
        <v>30</v>
      </c>
      <c r="E188" s="23">
        <f t="shared" si="33"/>
        <v>186</v>
      </c>
      <c r="F188" s="1">
        <v>2865</v>
      </c>
      <c r="G188" s="3">
        <f>5730/F188</f>
        <v>2</v>
      </c>
      <c r="H188" s="1">
        <v>1915.5364</v>
      </c>
      <c r="I188" s="1">
        <f t="shared" si="35"/>
        <v>583.85549472</v>
      </c>
      <c r="J188" s="1">
        <f aca="true" t="shared" si="43" ref="J188:J199">+J187+H188</f>
        <v>897393.8410999998</v>
      </c>
      <c r="K188" s="85">
        <f aca="true" t="shared" si="44" ref="K188:K200">+J188/5280</f>
        <v>169.96095475378786</v>
      </c>
      <c r="L188" s="85">
        <f t="shared" si="34"/>
        <v>273.52564276727986</v>
      </c>
      <c r="M188" s="14">
        <v>0</v>
      </c>
      <c r="N188" s="1">
        <f aca="true" t="shared" si="45" ref="N188:N199">+(M187+M188)/2</f>
        <v>0</v>
      </c>
      <c r="O188" s="1">
        <f aca="true" t="shared" si="46" ref="O188:O199">1.2*N188*(J188-J187)/27</f>
        <v>0</v>
      </c>
      <c r="P188" s="15">
        <v>480</v>
      </c>
      <c r="Q188" s="1">
        <f t="shared" si="39"/>
        <v>480</v>
      </c>
      <c r="R188" s="1">
        <f aca="true" t="shared" si="47" ref="R188:R199">1.2*Q188*(J188-J187)/27</f>
        <v>40864.776533332966</v>
      </c>
      <c r="S188" s="1">
        <f aca="true" t="shared" si="48" ref="S188:S199">1.9*(R188-O188)</f>
        <v>77643.07541333263</v>
      </c>
      <c r="W188" s="2"/>
      <c r="Y188" s="1"/>
      <c r="Z188" s="1"/>
      <c r="AA188" s="1"/>
      <c r="AB188" s="3"/>
      <c r="AC188" s="1"/>
      <c r="AD188" s="1"/>
    </row>
    <row r="189" spans="1:30" ht="12.75">
      <c r="A189">
        <f t="shared" si="32"/>
        <v>186</v>
      </c>
      <c r="D189" t="s">
        <v>30</v>
      </c>
      <c r="E189" s="23">
        <f t="shared" si="33"/>
        <v>187</v>
      </c>
      <c r="F189" s="1"/>
      <c r="G189" s="3"/>
      <c r="H189" s="1">
        <v>12937.6072</v>
      </c>
      <c r="I189" s="1">
        <f t="shared" si="35"/>
        <v>3943.3826745600004</v>
      </c>
      <c r="J189" s="1">
        <f t="shared" si="43"/>
        <v>910331.4482999998</v>
      </c>
      <c r="K189" s="85">
        <f t="shared" si="44"/>
        <v>172.41125914772724</v>
      </c>
      <c r="L189" s="85">
        <f t="shared" si="34"/>
        <v>277.46902544183985</v>
      </c>
      <c r="M189" s="14">
        <v>170</v>
      </c>
      <c r="N189" s="1">
        <f t="shared" si="45"/>
        <v>85</v>
      </c>
      <c r="O189" s="1">
        <f t="shared" si="46"/>
        <v>48875.40497777766</v>
      </c>
      <c r="P189" s="15">
        <v>126</v>
      </c>
      <c r="Q189" s="1">
        <f t="shared" si="39"/>
        <v>303</v>
      </c>
      <c r="R189" s="1">
        <f t="shared" si="47"/>
        <v>174226.44362666624</v>
      </c>
      <c r="S189" s="1">
        <f t="shared" si="48"/>
        <v>238166.9734328883</v>
      </c>
      <c r="W189" s="2"/>
      <c r="Y189" s="1"/>
      <c r="Z189" s="1"/>
      <c r="AA189" s="1"/>
      <c r="AB189" s="3"/>
      <c r="AC189" s="1"/>
      <c r="AD189" s="1"/>
    </row>
    <row r="190" spans="1:30" ht="12.75">
      <c r="A190">
        <f t="shared" si="32"/>
        <v>187</v>
      </c>
      <c r="D190" t="s">
        <v>30</v>
      </c>
      <c r="E190" s="23">
        <f t="shared" si="33"/>
        <v>188</v>
      </c>
      <c r="F190" s="1">
        <v>1910</v>
      </c>
      <c r="G190" s="3">
        <f>5730/F190</f>
        <v>3</v>
      </c>
      <c r="H190" s="1">
        <v>1486.8192</v>
      </c>
      <c r="I190" s="1">
        <f t="shared" si="35"/>
        <v>453.18249216</v>
      </c>
      <c r="J190" s="1">
        <f t="shared" si="43"/>
        <v>911818.2674999998</v>
      </c>
      <c r="K190" s="85">
        <f t="shared" si="44"/>
        <v>172.69285369318177</v>
      </c>
      <c r="L190" s="85">
        <f t="shared" si="34"/>
        <v>277.92220793399986</v>
      </c>
      <c r="M190" s="14">
        <v>0</v>
      </c>
      <c r="N190" s="1">
        <f t="shared" si="45"/>
        <v>85</v>
      </c>
      <c r="O190" s="1">
        <f t="shared" si="46"/>
        <v>5616.872533333436</v>
      </c>
      <c r="P190" s="15">
        <v>480</v>
      </c>
      <c r="Q190" s="1">
        <f t="shared" si="39"/>
        <v>303</v>
      </c>
      <c r="R190" s="1">
        <f t="shared" si="47"/>
        <v>20022.498560000367</v>
      </c>
      <c r="S190" s="1">
        <f t="shared" si="48"/>
        <v>27370.689450667167</v>
      </c>
      <c r="W190" s="2"/>
      <c r="Y190" s="1"/>
      <c r="Z190" s="1"/>
      <c r="AA190" s="1"/>
      <c r="AB190" s="3"/>
      <c r="AC190" s="1"/>
      <c r="AD190" s="1"/>
    </row>
    <row r="191" spans="1:30" ht="12.75">
      <c r="A191">
        <f t="shared" si="32"/>
        <v>188</v>
      </c>
      <c r="D191" t="s">
        <v>30</v>
      </c>
      <c r="E191" s="23">
        <f t="shared" si="33"/>
        <v>189</v>
      </c>
      <c r="F191" s="1"/>
      <c r="G191" s="3"/>
      <c r="H191" s="1">
        <v>861.8722</v>
      </c>
      <c r="I191" s="1">
        <f t="shared" si="35"/>
        <v>262.69864656000004</v>
      </c>
      <c r="J191" s="1">
        <f t="shared" si="43"/>
        <v>912680.1396999998</v>
      </c>
      <c r="K191" s="85">
        <f t="shared" si="44"/>
        <v>172.8560870643939</v>
      </c>
      <c r="L191" s="85">
        <f t="shared" si="34"/>
        <v>278.18490658055987</v>
      </c>
      <c r="M191" s="14">
        <v>95</v>
      </c>
      <c r="N191" s="1">
        <f t="shared" si="45"/>
        <v>47.5</v>
      </c>
      <c r="O191" s="1">
        <f t="shared" si="46"/>
        <v>1819.5079777777428</v>
      </c>
      <c r="P191" s="15">
        <v>254</v>
      </c>
      <c r="Q191" s="1">
        <f t="shared" si="39"/>
        <v>367</v>
      </c>
      <c r="R191" s="1">
        <f t="shared" si="47"/>
        <v>14058.093217777507</v>
      </c>
      <c r="S191" s="1">
        <f t="shared" si="48"/>
        <v>23253.31195599955</v>
      </c>
      <c r="W191" s="2"/>
      <c r="Y191" s="1"/>
      <c r="Z191" s="1"/>
      <c r="AA191" s="1"/>
      <c r="AB191" s="3"/>
      <c r="AC191" s="1"/>
      <c r="AD191" s="1"/>
    </row>
    <row r="192" spans="1:28" ht="12.75">
      <c r="A192">
        <f t="shared" si="32"/>
        <v>189</v>
      </c>
      <c r="D192" t="s">
        <v>30</v>
      </c>
      <c r="E192" s="23">
        <f t="shared" si="33"/>
        <v>190</v>
      </c>
      <c r="F192" s="1">
        <v>2865</v>
      </c>
      <c r="G192" s="3">
        <f>5730/F192</f>
        <v>2</v>
      </c>
      <c r="H192" s="1">
        <v>1941.1147</v>
      </c>
      <c r="I192" s="1">
        <f t="shared" si="35"/>
        <v>591.6517605600001</v>
      </c>
      <c r="J192" s="1">
        <f t="shared" si="43"/>
        <v>914621.2543999999</v>
      </c>
      <c r="K192" s="85">
        <f t="shared" si="44"/>
        <v>173.2237224242424</v>
      </c>
      <c r="L192" s="85">
        <f t="shared" si="34"/>
        <v>278.7765583411199</v>
      </c>
      <c r="M192" s="14">
        <v>95</v>
      </c>
      <c r="N192" s="1">
        <f t="shared" si="45"/>
        <v>95</v>
      </c>
      <c r="O192" s="1">
        <f t="shared" si="46"/>
        <v>8195.817622222368</v>
      </c>
      <c r="P192" s="15">
        <v>254</v>
      </c>
      <c r="Q192" s="1">
        <f t="shared" si="39"/>
        <v>254</v>
      </c>
      <c r="R192" s="1">
        <f t="shared" si="47"/>
        <v>21913.02816888928</v>
      </c>
      <c r="S192" s="1">
        <f t="shared" si="48"/>
        <v>26062.700038667128</v>
      </c>
      <c r="W192" s="2"/>
      <c r="Y192" s="1"/>
      <c r="Z192" s="1"/>
      <c r="AA192" s="1"/>
      <c r="AB192" s="3"/>
    </row>
    <row r="193" spans="1:30" ht="12.75">
      <c r="A193">
        <f t="shared" si="32"/>
        <v>190</v>
      </c>
      <c r="D193" t="s">
        <v>30</v>
      </c>
      <c r="E193" s="23">
        <f t="shared" si="33"/>
        <v>191</v>
      </c>
      <c r="F193" s="1"/>
      <c r="G193" s="3"/>
      <c r="H193" s="1">
        <v>5348.8441</v>
      </c>
      <c r="I193" s="1">
        <f t="shared" si="35"/>
        <v>1630.32768168</v>
      </c>
      <c r="J193" s="1">
        <f t="shared" si="43"/>
        <v>919970.0984999998</v>
      </c>
      <c r="K193" s="85">
        <f t="shared" si="44"/>
        <v>174.23676107954543</v>
      </c>
      <c r="L193" s="85">
        <f t="shared" si="34"/>
        <v>280.4068860227999</v>
      </c>
      <c r="M193" s="14">
        <v>0</v>
      </c>
      <c r="N193" s="1">
        <f t="shared" si="45"/>
        <v>47.5</v>
      </c>
      <c r="O193" s="1">
        <f t="shared" si="46"/>
        <v>11292.004211111085</v>
      </c>
      <c r="P193" s="15">
        <v>0</v>
      </c>
      <c r="Q193" s="1">
        <f t="shared" si="39"/>
        <v>127</v>
      </c>
      <c r="R193" s="1">
        <f t="shared" si="47"/>
        <v>30191.253364444376</v>
      </c>
      <c r="S193" s="1">
        <f t="shared" si="48"/>
        <v>35908.57339133325</v>
      </c>
      <c r="T193" s="1"/>
      <c r="U193" s="1"/>
      <c r="V193" s="1"/>
      <c r="W193" s="2"/>
      <c r="Y193" s="1"/>
      <c r="Z193" s="1"/>
      <c r="AA193" s="1"/>
      <c r="AB193" s="3"/>
      <c r="AC193" s="1"/>
      <c r="AD193" s="1"/>
    </row>
    <row r="194" spans="1:30" ht="12.75">
      <c r="A194">
        <f t="shared" si="32"/>
        <v>191</v>
      </c>
      <c r="D194" t="s">
        <v>30</v>
      </c>
      <c r="E194" s="23">
        <f t="shared" si="33"/>
        <v>192</v>
      </c>
      <c r="F194" s="1">
        <v>5730</v>
      </c>
      <c r="G194" s="3">
        <f>5730/F194</f>
        <v>1</v>
      </c>
      <c r="H194" s="1">
        <v>1074.728</v>
      </c>
      <c r="I194" s="1">
        <f t="shared" si="35"/>
        <v>327.5770944</v>
      </c>
      <c r="J194" s="1">
        <f t="shared" si="43"/>
        <v>921044.8264999999</v>
      </c>
      <c r="K194" s="85">
        <f t="shared" si="44"/>
        <v>174.4403080492424</v>
      </c>
      <c r="L194" s="85">
        <f t="shared" si="34"/>
        <v>280.7344631171999</v>
      </c>
      <c r="M194" s="14">
        <v>95</v>
      </c>
      <c r="N194" s="1">
        <f t="shared" si="45"/>
        <v>47.5</v>
      </c>
      <c r="O194" s="1">
        <f t="shared" si="46"/>
        <v>2268.870222222228</v>
      </c>
      <c r="P194" s="15">
        <v>254</v>
      </c>
      <c r="Q194" s="1">
        <f t="shared" si="39"/>
        <v>127</v>
      </c>
      <c r="R194" s="1">
        <f t="shared" si="47"/>
        <v>6066.242488888905</v>
      </c>
      <c r="S194" s="1">
        <f t="shared" si="48"/>
        <v>7215.007306666686</v>
      </c>
      <c r="W194" s="2"/>
      <c r="Y194" s="1"/>
      <c r="Z194" s="1"/>
      <c r="AA194" s="1"/>
      <c r="AB194" s="3"/>
      <c r="AC194" s="1"/>
      <c r="AD194" s="1"/>
    </row>
    <row r="195" spans="1:30" ht="12.75">
      <c r="A195">
        <f t="shared" si="32"/>
        <v>192</v>
      </c>
      <c r="D195" t="s">
        <v>30</v>
      </c>
      <c r="E195" s="23">
        <f t="shared" si="33"/>
        <v>193</v>
      </c>
      <c r="F195" s="1"/>
      <c r="G195" s="3"/>
      <c r="H195" s="1">
        <v>3142.9976</v>
      </c>
      <c r="I195" s="1">
        <f t="shared" si="35"/>
        <v>957.9856684800001</v>
      </c>
      <c r="J195" s="1">
        <f t="shared" si="43"/>
        <v>924187.8240999999</v>
      </c>
      <c r="K195" s="85">
        <f t="shared" si="44"/>
        <v>175.0355727462121</v>
      </c>
      <c r="L195" s="85">
        <f t="shared" si="34"/>
        <v>281.69244878567986</v>
      </c>
      <c r="M195" s="14">
        <v>95</v>
      </c>
      <c r="N195" s="1">
        <f t="shared" si="45"/>
        <v>95</v>
      </c>
      <c r="O195" s="1">
        <f t="shared" si="46"/>
        <v>13270.434311111121</v>
      </c>
      <c r="P195" s="15">
        <v>254</v>
      </c>
      <c r="Q195" s="1">
        <f t="shared" si="39"/>
        <v>254</v>
      </c>
      <c r="R195" s="1">
        <f t="shared" si="47"/>
        <v>35480.95068444448</v>
      </c>
      <c r="S195" s="1">
        <f t="shared" si="48"/>
        <v>42199.98110933337</v>
      </c>
      <c r="W195" s="2"/>
      <c r="Y195" s="1"/>
      <c r="Z195" s="1"/>
      <c r="AA195" s="1"/>
      <c r="AB195" s="3"/>
      <c r="AC195" s="1"/>
      <c r="AD195" s="1"/>
    </row>
    <row r="196" spans="1:30" ht="12.75">
      <c r="A196">
        <f aca="true" t="shared" si="49" ref="A196:A240">+A195+1</f>
        <v>193</v>
      </c>
      <c r="D196" t="s">
        <v>30</v>
      </c>
      <c r="E196" s="23">
        <f t="shared" si="33"/>
        <v>194</v>
      </c>
      <c r="F196" s="1">
        <v>5730</v>
      </c>
      <c r="G196" s="3">
        <f>5730/F196</f>
        <v>1</v>
      </c>
      <c r="H196" s="1">
        <v>4255.833</v>
      </c>
      <c r="I196" s="1">
        <f t="shared" si="35"/>
        <v>1297.1778984</v>
      </c>
      <c r="J196" s="1">
        <f t="shared" si="43"/>
        <v>928443.6570999998</v>
      </c>
      <c r="K196" s="85">
        <f t="shared" si="44"/>
        <v>175.8416017234848</v>
      </c>
      <c r="L196" s="85">
        <f t="shared" si="34"/>
        <v>282.98962668407984</v>
      </c>
      <c r="M196" s="14">
        <v>95</v>
      </c>
      <c r="N196" s="1">
        <f t="shared" si="45"/>
        <v>95</v>
      </c>
      <c r="O196" s="1">
        <f t="shared" si="46"/>
        <v>17969.0726666666</v>
      </c>
      <c r="P196" s="15">
        <v>254</v>
      </c>
      <c r="Q196" s="1">
        <f t="shared" si="39"/>
        <v>254</v>
      </c>
      <c r="R196" s="1">
        <f t="shared" si="47"/>
        <v>48043.62586666649</v>
      </c>
      <c r="S196" s="1">
        <f t="shared" si="48"/>
        <v>57141.65107999978</v>
      </c>
      <c r="W196" s="2"/>
      <c r="Y196" s="1"/>
      <c r="Z196" s="1"/>
      <c r="AA196" s="1"/>
      <c r="AB196" s="3"/>
      <c r="AC196" s="1"/>
      <c r="AD196" s="1"/>
    </row>
    <row r="197" spans="1:30" ht="12.75">
      <c r="A197">
        <f t="shared" si="49"/>
        <v>194</v>
      </c>
      <c r="D197" t="s">
        <v>30</v>
      </c>
      <c r="E197" s="23">
        <f aca="true" t="shared" si="50" ref="E197:E227">+E196+1</f>
        <v>195</v>
      </c>
      <c r="F197" s="1"/>
      <c r="G197" s="3"/>
      <c r="H197" s="1">
        <v>1538.6994</v>
      </c>
      <c r="I197" s="1">
        <f t="shared" si="35"/>
        <v>468.99557712</v>
      </c>
      <c r="J197" s="1">
        <f t="shared" si="43"/>
        <v>929982.3564999999</v>
      </c>
      <c r="K197" s="85">
        <f t="shared" si="44"/>
        <v>176.1330220643939</v>
      </c>
      <c r="L197" s="85">
        <f t="shared" si="34"/>
        <v>283.4586222611998</v>
      </c>
      <c r="M197" s="14">
        <v>95</v>
      </c>
      <c r="N197" s="1">
        <f t="shared" si="45"/>
        <v>95</v>
      </c>
      <c r="O197" s="1">
        <f t="shared" si="46"/>
        <v>6496.730800000175</v>
      </c>
      <c r="P197" s="15">
        <v>254</v>
      </c>
      <c r="Q197" s="1">
        <f t="shared" si="39"/>
        <v>254</v>
      </c>
      <c r="R197" s="1">
        <f t="shared" si="47"/>
        <v>17370.206560000468</v>
      </c>
      <c r="S197" s="1">
        <f t="shared" si="48"/>
        <v>20659.603944000555</v>
      </c>
      <c r="W197" s="2"/>
      <c r="Y197" s="1"/>
      <c r="Z197" s="1"/>
      <c r="AA197" s="1"/>
      <c r="AB197" s="3"/>
      <c r="AC197" s="1"/>
      <c r="AD197" s="1"/>
    </row>
    <row r="198" spans="1:30" ht="12.75">
      <c r="A198">
        <f t="shared" si="49"/>
        <v>195</v>
      </c>
      <c r="D198" t="s">
        <v>30</v>
      </c>
      <c r="E198" s="23">
        <f t="shared" si="50"/>
        <v>196</v>
      </c>
      <c r="F198" s="1">
        <v>2865</v>
      </c>
      <c r="G198" s="3">
        <f>5730/F198</f>
        <v>2</v>
      </c>
      <c r="H198" s="1">
        <v>1910.6548</v>
      </c>
      <c r="I198" s="1">
        <f t="shared" si="35"/>
        <v>582.36758304</v>
      </c>
      <c r="J198" s="1">
        <f t="shared" si="43"/>
        <v>931893.0112999999</v>
      </c>
      <c r="K198" s="85">
        <f t="shared" si="44"/>
        <v>176.49488850378785</v>
      </c>
      <c r="L198" s="85">
        <f aca="true" t="shared" si="51" ref="L198:L227">+L197+I198/1000</f>
        <v>284.04098984423985</v>
      </c>
      <c r="M198" s="14">
        <v>95</v>
      </c>
      <c r="N198" s="1">
        <f t="shared" si="45"/>
        <v>95</v>
      </c>
      <c r="O198" s="1">
        <f t="shared" si="46"/>
        <v>8067.2091555556335</v>
      </c>
      <c r="P198" s="15">
        <v>254</v>
      </c>
      <c r="Q198" s="1">
        <f t="shared" si="39"/>
        <v>254</v>
      </c>
      <c r="R198" s="1">
        <f t="shared" si="47"/>
        <v>21569.16974222243</v>
      </c>
      <c r="S198" s="1">
        <f t="shared" si="48"/>
        <v>25653.725114666915</v>
      </c>
      <c r="W198" s="2"/>
      <c r="Y198" s="1"/>
      <c r="Z198" s="1"/>
      <c r="AA198" s="1"/>
      <c r="AB198" s="3"/>
      <c r="AC198" s="1"/>
      <c r="AD198" s="1"/>
    </row>
    <row r="199" spans="1:30" ht="12.75">
      <c r="A199">
        <f t="shared" si="49"/>
        <v>196</v>
      </c>
      <c r="D199" s="1" t="s">
        <v>30</v>
      </c>
      <c r="E199" s="23">
        <f t="shared" si="50"/>
        <v>197</v>
      </c>
      <c r="G199" s="3"/>
      <c r="H199" s="1">
        <v>2206.8578</v>
      </c>
      <c r="I199" s="1">
        <f aca="true" t="shared" si="52" ref="I199:I227">+H199*0.3048</f>
        <v>672.6502574400001</v>
      </c>
      <c r="J199" s="1">
        <f t="shared" si="43"/>
        <v>934099.8690999999</v>
      </c>
      <c r="K199" s="85">
        <f t="shared" si="44"/>
        <v>176.9128539962121</v>
      </c>
      <c r="L199" s="85">
        <f t="shared" si="51"/>
        <v>284.71364010167986</v>
      </c>
      <c r="M199" s="14">
        <v>95</v>
      </c>
      <c r="N199" s="1">
        <f t="shared" si="45"/>
        <v>95</v>
      </c>
      <c r="O199" s="1">
        <f t="shared" si="46"/>
        <v>9317.844044444435</v>
      </c>
      <c r="P199" s="15">
        <v>254</v>
      </c>
      <c r="Q199" s="1">
        <f t="shared" si="39"/>
        <v>254</v>
      </c>
      <c r="R199" s="1">
        <f t="shared" si="47"/>
        <v>24912.972497777755</v>
      </c>
      <c r="S199" s="1">
        <f t="shared" si="48"/>
        <v>29630.744061333306</v>
      </c>
      <c r="W199" s="2"/>
      <c r="Y199" s="1"/>
      <c r="Z199" s="1"/>
      <c r="AA199" s="1"/>
      <c r="AB199" s="3"/>
      <c r="AC199" s="1"/>
      <c r="AD199" s="1"/>
    </row>
    <row r="200" spans="1:30" ht="12.75">
      <c r="A200">
        <f t="shared" si="49"/>
        <v>197</v>
      </c>
      <c r="D200" t="s">
        <v>30</v>
      </c>
      <c r="E200" s="23">
        <f t="shared" si="50"/>
        <v>198</v>
      </c>
      <c r="F200" s="1">
        <v>5730</v>
      </c>
      <c r="G200" s="3">
        <f>5730/F200</f>
        <v>1</v>
      </c>
      <c r="H200" s="1">
        <v>2064.9494</v>
      </c>
      <c r="I200" s="1">
        <f t="shared" si="52"/>
        <v>629.3965771200001</v>
      </c>
      <c r="J200" s="1">
        <f aca="true" t="shared" si="53" ref="J200:J227">+J199+H200</f>
        <v>936164.8184999999</v>
      </c>
      <c r="K200" s="85">
        <f t="shared" si="44"/>
        <v>177.30394289772727</v>
      </c>
      <c r="L200" s="85">
        <f t="shared" si="51"/>
        <v>285.3430366787999</v>
      </c>
      <c r="M200" s="14">
        <v>95</v>
      </c>
      <c r="N200" s="1">
        <f aca="true" t="shared" si="54" ref="N200:N227">+(M199+M200)/2</f>
        <v>95</v>
      </c>
      <c r="O200" s="1">
        <f aca="true" t="shared" si="55" ref="O200:O227">1.2*N200*(J200-J199)/27</f>
        <v>8718.67524444462</v>
      </c>
      <c r="P200" s="15">
        <v>254</v>
      </c>
      <c r="Q200" s="1">
        <f t="shared" si="39"/>
        <v>254</v>
      </c>
      <c r="R200" s="1">
        <f aca="true" t="shared" si="56" ref="R200:R227">1.2*Q200*(J200-J199)/27</f>
        <v>23310.984337778245</v>
      </c>
      <c r="S200" s="1">
        <f aca="true" t="shared" si="57" ref="S200:S228">1.9*(R200-O200)</f>
        <v>27725.387277333888</v>
      </c>
      <c r="W200" s="2"/>
      <c r="Y200" s="1"/>
      <c r="Z200" s="1"/>
      <c r="AA200" s="1"/>
      <c r="AB200" s="3"/>
      <c r="AC200" s="1"/>
      <c r="AD200" s="1"/>
    </row>
    <row r="201" spans="1:30" ht="12.75">
      <c r="A201">
        <f t="shared" si="49"/>
        <v>198</v>
      </c>
      <c r="D201" t="s">
        <v>30</v>
      </c>
      <c r="E201" s="23">
        <f t="shared" si="50"/>
        <v>199</v>
      </c>
      <c r="F201" s="1"/>
      <c r="G201" s="3"/>
      <c r="H201" s="1">
        <v>13100.7064</v>
      </c>
      <c r="I201" s="1">
        <f t="shared" si="52"/>
        <v>3993.09531072</v>
      </c>
      <c r="J201" s="1">
        <f t="shared" si="53"/>
        <v>949265.5249</v>
      </c>
      <c r="K201" s="85">
        <f aca="true" t="shared" si="58" ref="K201:K227">+J201/5280</f>
        <v>179.78513729166667</v>
      </c>
      <c r="L201" s="85">
        <f t="shared" si="51"/>
        <v>289.33613198951986</v>
      </c>
      <c r="M201" s="14">
        <v>95</v>
      </c>
      <c r="N201" s="1">
        <f t="shared" si="54"/>
        <v>95</v>
      </c>
      <c r="O201" s="1">
        <f t="shared" si="55"/>
        <v>55314.09368888899</v>
      </c>
      <c r="P201" s="15">
        <v>254</v>
      </c>
      <c r="Q201" s="1">
        <f t="shared" si="39"/>
        <v>254</v>
      </c>
      <c r="R201" s="1">
        <f t="shared" si="56"/>
        <v>147892.41891555584</v>
      </c>
      <c r="S201" s="1">
        <f t="shared" si="57"/>
        <v>175898.817930667</v>
      </c>
      <c r="W201" s="2"/>
      <c r="Y201" s="1"/>
      <c r="Z201" s="1"/>
      <c r="AA201" s="1"/>
      <c r="AB201" s="3"/>
      <c r="AC201" s="1"/>
      <c r="AD201" s="1"/>
    </row>
    <row r="202" spans="1:30" ht="12.75">
      <c r="A202">
        <f t="shared" si="49"/>
        <v>199</v>
      </c>
      <c r="D202" t="s">
        <v>30</v>
      </c>
      <c r="E202" s="23">
        <f t="shared" si="50"/>
        <v>200</v>
      </c>
      <c r="F202" s="1">
        <v>1910</v>
      </c>
      <c r="G202" s="3">
        <f>5730/F202</f>
        <v>3</v>
      </c>
      <c r="H202" s="1">
        <v>1969.4664</v>
      </c>
      <c r="I202" s="1">
        <f t="shared" si="52"/>
        <v>600.29335872</v>
      </c>
      <c r="J202" s="1">
        <f t="shared" si="53"/>
        <v>951234.9913</v>
      </c>
      <c r="K202" s="85">
        <f t="shared" si="58"/>
        <v>180.15814229166668</v>
      </c>
      <c r="L202" s="85">
        <f t="shared" si="51"/>
        <v>289.9364253482399</v>
      </c>
      <c r="M202" s="14">
        <v>95</v>
      </c>
      <c r="N202" s="1">
        <f t="shared" si="54"/>
        <v>95</v>
      </c>
      <c r="O202" s="1">
        <f t="shared" si="55"/>
        <v>8315.524800000143</v>
      </c>
      <c r="P202" s="15">
        <v>254</v>
      </c>
      <c r="Q202" s="1">
        <f t="shared" si="39"/>
        <v>254</v>
      </c>
      <c r="R202" s="1">
        <f t="shared" si="56"/>
        <v>22233.087360000383</v>
      </c>
      <c r="S202" s="1">
        <f t="shared" si="57"/>
        <v>26443.368864000455</v>
      </c>
      <c r="W202" s="2"/>
      <c r="Y202" s="1"/>
      <c r="Z202" s="1"/>
      <c r="AA202" s="1"/>
      <c r="AB202" s="3"/>
      <c r="AC202" s="1"/>
      <c r="AD202" s="1"/>
    </row>
    <row r="203" spans="1:30" ht="12.75">
      <c r="A203">
        <f t="shared" si="49"/>
        <v>200</v>
      </c>
      <c r="D203" t="s">
        <v>30</v>
      </c>
      <c r="E203" s="23">
        <f t="shared" si="50"/>
        <v>201</v>
      </c>
      <c r="F203" s="1"/>
      <c r="G203" s="3"/>
      <c r="H203" s="1">
        <v>729.4939</v>
      </c>
      <c r="I203" s="1">
        <f t="shared" si="52"/>
        <v>222.34974072000003</v>
      </c>
      <c r="J203" s="1">
        <f t="shared" si="53"/>
        <v>951964.4852</v>
      </c>
      <c r="K203" s="85">
        <f t="shared" si="58"/>
        <v>180.29630401515152</v>
      </c>
      <c r="L203" s="85">
        <f t="shared" si="51"/>
        <v>290.1587750889599</v>
      </c>
      <c r="M203" s="14">
        <v>0</v>
      </c>
      <c r="N203" s="1">
        <f t="shared" si="54"/>
        <v>47.5</v>
      </c>
      <c r="O203" s="1">
        <f t="shared" si="55"/>
        <v>1540.0426777777805</v>
      </c>
      <c r="P203" s="14">
        <v>0</v>
      </c>
      <c r="Q203" s="1">
        <f t="shared" si="39"/>
        <v>127</v>
      </c>
      <c r="R203" s="1">
        <f t="shared" si="56"/>
        <v>4117.587791111118</v>
      </c>
      <c r="S203" s="1">
        <f t="shared" si="57"/>
        <v>4897.335715333342</v>
      </c>
      <c r="W203" s="2"/>
      <c r="Y203" s="1"/>
      <c r="Z203" s="1"/>
      <c r="AA203" s="1"/>
      <c r="AB203" s="3"/>
      <c r="AC203" s="1"/>
      <c r="AD203" s="1"/>
    </row>
    <row r="204" spans="1:30" ht="12.75">
      <c r="A204">
        <f t="shared" si="49"/>
        <v>201</v>
      </c>
      <c r="D204" t="s">
        <v>30</v>
      </c>
      <c r="E204" s="23">
        <f t="shared" si="50"/>
        <v>202</v>
      </c>
      <c r="F204" s="1">
        <v>2865</v>
      </c>
      <c r="G204" s="3">
        <f>5730/F204</f>
        <v>2</v>
      </c>
      <c r="H204" s="1">
        <v>2410.8346</v>
      </c>
      <c r="I204" s="1">
        <f t="shared" si="52"/>
        <v>734.8223860800001</v>
      </c>
      <c r="J204" s="1">
        <f t="shared" si="53"/>
        <v>954375.3197999999</v>
      </c>
      <c r="K204" s="85">
        <f t="shared" si="58"/>
        <v>180.75290147727273</v>
      </c>
      <c r="L204" s="85">
        <f t="shared" si="51"/>
        <v>290.8935974750399</v>
      </c>
      <c r="M204" s="14">
        <v>95</v>
      </c>
      <c r="N204" s="1">
        <f t="shared" si="54"/>
        <v>47.5</v>
      </c>
      <c r="O204" s="1">
        <f t="shared" si="55"/>
        <v>5089.539711110992</v>
      </c>
      <c r="P204" s="15">
        <v>254</v>
      </c>
      <c r="Q204" s="1">
        <f t="shared" si="39"/>
        <v>127</v>
      </c>
      <c r="R204" s="1">
        <f t="shared" si="56"/>
        <v>13607.821964444127</v>
      </c>
      <c r="S204" s="1">
        <f t="shared" si="57"/>
        <v>16184.736281332955</v>
      </c>
      <c r="W204" s="2"/>
      <c r="Y204" s="1"/>
      <c r="Z204" s="1"/>
      <c r="AA204" s="1"/>
      <c r="AB204" s="3"/>
      <c r="AC204" s="1"/>
      <c r="AD204" s="1"/>
    </row>
    <row r="205" spans="1:30" ht="12.75">
      <c r="A205">
        <f t="shared" si="49"/>
        <v>202</v>
      </c>
      <c r="D205" t="s">
        <v>30</v>
      </c>
      <c r="E205" s="23">
        <f t="shared" si="50"/>
        <v>203</v>
      </c>
      <c r="F205" s="1"/>
      <c r="G205" s="3"/>
      <c r="H205" s="1">
        <v>4336.7502</v>
      </c>
      <c r="I205" s="1">
        <f t="shared" si="52"/>
        <v>1321.8414609600002</v>
      </c>
      <c r="J205" s="1">
        <f t="shared" si="53"/>
        <v>958712.07</v>
      </c>
      <c r="K205" s="85">
        <f t="shared" si="58"/>
        <v>181.57425568181816</v>
      </c>
      <c r="L205" s="85">
        <f t="shared" si="51"/>
        <v>292.2154389359999</v>
      </c>
      <c r="M205" s="14">
        <v>95</v>
      </c>
      <c r="N205" s="1">
        <f t="shared" si="54"/>
        <v>95</v>
      </c>
      <c r="O205" s="1">
        <f t="shared" si="55"/>
        <v>18310.723066666706</v>
      </c>
      <c r="P205" s="15">
        <v>254</v>
      </c>
      <c r="Q205" s="1">
        <f t="shared" si="39"/>
        <v>254</v>
      </c>
      <c r="R205" s="1">
        <f t="shared" si="56"/>
        <v>48957.091146666775</v>
      </c>
      <c r="S205" s="1">
        <f t="shared" si="57"/>
        <v>58228.09935200013</v>
      </c>
      <c r="W205" s="2"/>
      <c r="Y205" s="1"/>
      <c r="Z205" s="1"/>
      <c r="AA205" s="1"/>
      <c r="AB205" s="3"/>
      <c r="AC205" s="1"/>
      <c r="AD205" s="1"/>
    </row>
    <row r="206" spans="1:30" ht="12.75">
      <c r="A206">
        <f t="shared" si="49"/>
        <v>203</v>
      </c>
      <c r="D206" t="s">
        <v>30</v>
      </c>
      <c r="E206" s="23">
        <f t="shared" si="50"/>
        <v>204</v>
      </c>
      <c r="F206" s="1">
        <v>2865</v>
      </c>
      <c r="G206" s="3">
        <f>5730/F206</f>
        <v>2</v>
      </c>
      <c r="H206" s="1">
        <v>985.108</v>
      </c>
      <c r="I206" s="1">
        <f t="shared" si="52"/>
        <v>300.2609184</v>
      </c>
      <c r="J206" s="1">
        <f t="shared" si="53"/>
        <v>959697.178</v>
      </c>
      <c r="K206" s="85">
        <f t="shared" si="58"/>
        <v>181.76082916666667</v>
      </c>
      <c r="L206" s="85">
        <f t="shared" si="51"/>
        <v>292.5156998543999</v>
      </c>
      <c r="M206" s="14">
        <v>95</v>
      </c>
      <c r="N206" s="1">
        <f t="shared" si="54"/>
        <v>95</v>
      </c>
      <c r="O206" s="1">
        <f t="shared" si="55"/>
        <v>4159.344888888921</v>
      </c>
      <c r="P206" s="15">
        <v>254</v>
      </c>
      <c r="Q206" s="1">
        <f t="shared" si="39"/>
        <v>254</v>
      </c>
      <c r="R206" s="1">
        <f t="shared" si="56"/>
        <v>11120.77475555564</v>
      </c>
      <c r="S206" s="1">
        <f t="shared" si="57"/>
        <v>13226.716746666765</v>
      </c>
      <c r="W206" s="2"/>
      <c r="Y206" s="1"/>
      <c r="Z206" s="1"/>
      <c r="AA206" s="1"/>
      <c r="AB206" s="3"/>
      <c r="AC206" s="1"/>
      <c r="AD206" s="1"/>
    </row>
    <row r="207" spans="1:30" ht="12.75">
      <c r="A207">
        <f t="shared" si="49"/>
        <v>204</v>
      </c>
      <c r="D207" t="s">
        <v>30</v>
      </c>
      <c r="E207" s="23">
        <f t="shared" si="50"/>
        <v>205</v>
      </c>
      <c r="F207" s="1"/>
      <c r="G207" s="3"/>
      <c r="H207" s="1">
        <v>11525.9539</v>
      </c>
      <c r="I207" s="1">
        <f t="shared" si="52"/>
        <v>3513.11074872</v>
      </c>
      <c r="J207" s="1">
        <f t="shared" si="53"/>
        <v>971223.1318999999</v>
      </c>
      <c r="K207" s="85">
        <f t="shared" si="58"/>
        <v>183.94377498106059</v>
      </c>
      <c r="L207" s="85">
        <f t="shared" si="51"/>
        <v>296.0288106031199</v>
      </c>
      <c r="M207" s="14">
        <v>95</v>
      </c>
      <c r="N207" s="1">
        <f t="shared" si="54"/>
        <v>95</v>
      </c>
      <c r="O207" s="1">
        <f t="shared" si="55"/>
        <v>48665.138688888735</v>
      </c>
      <c r="P207" s="15">
        <v>254</v>
      </c>
      <c r="Q207" s="1">
        <f t="shared" si="39"/>
        <v>254</v>
      </c>
      <c r="R207" s="1">
        <f t="shared" si="56"/>
        <v>130115.21291555517</v>
      </c>
      <c r="S207" s="1">
        <f t="shared" si="57"/>
        <v>154755.14103066621</v>
      </c>
      <c r="W207" s="2"/>
      <c r="Y207" s="1"/>
      <c r="Z207" s="1"/>
      <c r="AA207" s="1"/>
      <c r="AB207" s="3"/>
      <c r="AC207" s="1"/>
      <c r="AD207" s="1"/>
    </row>
    <row r="208" spans="1:30" ht="12.75">
      <c r="A208">
        <f t="shared" si="49"/>
        <v>205</v>
      </c>
      <c r="D208" t="s">
        <v>30</v>
      </c>
      <c r="E208" s="23">
        <f t="shared" si="50"/>
        <v>206</v>
      </c>
      <c r="F208" s="1">
        <v>2865</v>
      </c>
      <c r="G208" s="3">
        <f>5730/F208</f>
        <v>2</v>
      </c>
      <c r="H208" s="1">
        <v>1899.0344</v>
      </c>
      <c r="I208" s="1">
        <f t="shared" si="52"/>
        <v>578.82568512</v>
      </c>
      <c r="J208" s="1">
        <f t="shared" si="53"/>
        <v>973122.1662999999</v>
      </c>
      <c r="K208" s="85">
        <f t="shared" si="58"/>
        <v>184.3034405871212</v>
      </c>
      <c r="L208" s="85">
        <f t="shared" si="51"/>
        <v>296.6076362882399</v>
      </c>
      <c r="M208" s="14">
        <v>95</v>
      </c>
      <c r="N208" s="1">
        <f t="shared" si="54"/>
        <v>95</v>
      </c>
      <c r="O208" s="1">
        <f t="shared" si="55"/>
        <v>8018.145244444462</v>
      </c>
      <c r="P208" s="15">
        <v>254</v>
      </c>
      <c r="Q208" s="1">
        <f aca="true" t="shared" si="59" ref="Q208:Q227">+(P207+P208)/2</f>
        <v>254</v>
      </c>
      <c r="R208" s="1">
        <f t="shared" si="56"/>
        <v>21437.988337777828</v>
      </c>
      <c r="S208" s="1">
        <f t="shared" si="57"/>
        <v>25497.701877333395</v>
      </c>
      <c r="W208" s="2"/>
      <c r="Y208" s="1"/>
      <c r="Z208" s="1"/>
      <c r="AA208" s="1"/>
      <c r="AB208" s="3"/>
      <c r="AC208" s="1"/>
      <c r="AD208" s="1"/>
    </row>
    <row r="209" spans="1:30" ht="12.75">
      <c r="A209">
        <f t="shared" si="49"/>
        <v>206</v>
      </c>
      <c r="B209" s="1"/>
      <c r="C209" s="1"/>
      <c r="D209" s="1" t="s">
        <v>30</v>
      </c>
      <c r="E209" s="23">
        <f t="shared" si="50"/>
        <v>207</v>
      </c>
      <c r="F209" s="1"/>
      <c r="G209" s="3"/>
      <c r="H209" s="1">
        <v>3079.4509</v>
      </c>
      <c r="I209" s="1">
        <f t="shared" si="52"/>
        <v>938.61663432</v>
      </c>
      <c r="J209" s="1">
        <f t="shared" si="53"/>
        <v>976201.6172</v>
      </c>
      <c r="K209" s="85">
        <f t="shared" si="58"/>
        <v>184.88666992424243</v>
      </c>
      <c r="L209" s="85">
        <f t="shared" si="51"/>
        <v>297.5462529225599</v>
      </c>
      <c r="M209" s="14">
        <v>95</v>
      </c>
      <c r="N209" s="1">
        <f t="shared" si="54"/>
        <v>95</v>
      </c>
      <c r="O209" s="1">
        <f t="shared" si="55"/>
        <v>13002.126022222452</v>
      </c>
      <c r="P209" s="15">
        <v>254</v>
      </c>
      <c r="Q209" s="1">
        <f t="shared" si="59"/>
        <v>254</v>
      </c>
      <c r="R209" s="1">
        <f t="shared" si="56"/>
        <v>34763.57904888951</v>
      </c>
      <c r="S209" s="1">
        <f t="shared" si="57"/>
        <v>41346.7607506674</v>
      </c>
      <c r="W209" s="2"/>
      <c r="Y209" s="1"/>
      <c r="Z209" s="1"/>
      <c r="AA209" s="1"/>
      <c r="AB209" s="3"/>
      <c r="AC209" s="1"/>
      <c r="AD209" s="1"/>
    </row>
    <row r="210" spans="1:30" ht="12.75">
      <c r="A210">
        <f t="shared" si="49"/>
        <v>207</v>
      </c>
      <c r="D210" s="1" t="s">
        <v>30</v>
      </c>
      <c r="E210" s="23">
        <f t="shared" si="50"/>
        <v>208</v>
      </c>
      <c r="F210" s="1">
        <v>1910</v>
      </c>
      <c r="G210" s="3">
        <f>5730/F210</f>
        <v>3</v>
      </c>
      <c r="H210" s="1">
        <v>1117.0948</v>
      </c>
      <c r="I210" s="1">
        <f t="shared" si="52"/>
        <v>340.49049504000004</v>
      </c>
      <c r="J210" s="1">
        <f t="shared" si="53"/>
        <v>977318.7119999999</v>
      </c>
      <c r="K210" s="85">
        <f t="shared" si="58"/>
        <v>185.0982409090909</v>
      </c>
      <c r="L210" s="85">
        <f t="shared" si="51"/>
        <v>297.8867434175999</v>
      </c>
      <c r="M210" s="14">
        <v>0</v>
      </c>
      <c r="N210" s="1">
        <f t="shared" si="54"/>
        <v>47.5</v>
      </c>
      <c r="O210" s="1">
        <f t="shared" si="55"/>
        <v>2358.3112444443655</v>
      </c>
      <c r="P210" s="15">
        <v>480</v>
      </c>
      <c r="Q210" s="1">
        <f t="shared" si="59"/>
        <v>367</v>
      </c>
      <c r="R210" s="1">
        <f t="shared" si="56"/>
        <v>18221.057404443833</v>
      </c>
      <c r="S210" s="1">
        <f t="shared" si="57"/>
        <v>30139.217703998987</v>
      </c>
      <c r="W210" s="2"/>
      <c r="Y210" s="1"/>
      <c r="Z210" s="1"/>
      <c r="AA210" s="1"/>
      <c r="AB210" s="3"/>
      <c r="AC210" s="1"/>
      <c r="AD210" s="1"/>
    </row>
    <row r="211" spans="1:30" ht="12.75">
      <c r="A211">
        <f t="shared" si="49"/>
        <v>208</v>
      </c>
      <c r="D211" s="1" t="s">
        <v>30</v>
      </c>
      <c r="E211" s="23">
        <f t="shared" si="50"/>
        <v>209</v>
      </c>
      <c r="F211" s="1"/>
      <c r="G211" s="3"/>
      <c r="H211" s="1">
        <v>9562.4121</v>
      </c>
      <c r="I211" s="1">
        <f t="shared" si="52"/>
        <v>2914.62320808</v>
      </c>
      <c r="J211" s="1">
        <f t="shared" si="53"/>
        <v>986881.1240999999</v>
      </c>
      <c r="K211" s="85">
        <f t="shared" si="58"/>
        <v>186.90930380681817</v>
      </c>
      <c r="L211" s="85">
        <f t="shared" si="51"/>
        <v>300.8013666256799</v>
      </c>
      <c r="M211" s="14">
        <v>0</v>
      </c>
      <c r="N211" s="1">
        <f t="shared" si="54"/>
        <v>0</v>
      </c>
      <c r="O211" s="1">
        <f t="shared" si="55"/>
        <v>0</v>
      </c>
      <c r="P211" s="15">
        <v>480</v>
      </c>
      <c r="Q211" s="1">
        <f t="shared" si="59"/>
        <v>480</v>
      </c>
      <c r="R211" s="1">
        <f t="shared" si="56"/>
        <v>203998.1247999991</v>
      </c>
      <c r="S211" s="1">
        <f t="shared" si="57"/>
        <v>387596.43711999827</v>
      </c>
      <c r="W211" s="2"/>
      <c r="Y211" s="1"/>
      <c r="Z211" s="1"/>
      <c r="AA211" s="1"/>
      <c r="AB211" s="3"/>
      <c r="AC211" s="1"/>
      <c r="AD211" s="1"/>
    </row>
    <row r="212" spans="1:30" ht="12.75">
      <c r="A212">
        <f t="shared" si="49"/>
        <v>209</v>
      </c>
      <c r="D212" s="1" t="s">
        <v>30</v>
      </c>
      <c r="E212" s="23">
        <f t="shared" si="50"/>
        <v>210</v>
      </c>
      <c r="F212" s="1">
        <v>1910</v>
      </c>
      <c r="G212" s="3">
        <f>5730/F212</f>
        <v>3</v>
      </c>
      <c r="H212" s="1">
        <v>2572.2165</v>
      </c>
      <c r="I212" s="1">
        <f t="shared" si="52"/>
        <v>784.0115892</v>
      </c>
      <c r="J212" s="1">
        <f t="shared" si="53"/>
        <v>989453.3405999999</v>
      </c>
      <c r="K212" s="85">
        <f t="shared" si="58"/>
        <v>187.39646602272725</v>
      </c>
      <c r="L212" s="85">
        <f t="shared" si="51"/>
        <v>301.58537821487994</v>
      </c>
      <c r="M212" s="14">
        <v>0</v>
      </c>
      <c r="N212" s="1">
        <f t="shared" si="54"/>
        <v>0</v>
      </c>
      <c r="O212" s="1">
        <f t="shared" si="55"/>
        <v>0</v>
      </c>
      <c r="P212" s="15">
        <v>480</v>
      </c>
      <c r="Q212" s="1">
        <f t="shared" si="59"/>
        <v>480</v>
      </c>
      <c r="R212" s="1">
        <f t="shared" si="56"/>
        <v>54873.95199999958</v>
      </c>
      <c r="S212" s="1">
        <f t="shared" si="57"/>
        <v>104260.5087999992</v>
      </c>
      <c r="W212" s="2"/>
      <c r="Y212" s="1"/>
      <c r="Z212" s="1"/>
      <c r="AA212" s="1"/>
      <c r="AB212" s="3"/>
      <c r="AC212" s="1"/>
      <c r="AD212" s="1"/>
    </row>
    <row r="213" spans="1:30" ht="12.75">
      <c r="A213">
        <f t="shared" si="49"/>
        <v>210</v>
      </c>
      <c r="D213" s="1" t="s">
        <v>30</v>
      </c>
      <c r="E213" s="23">
        <f t="shared" si="50"/>
        <v>211</v>
      </c>
      <c r="F213" s="1"/>
      <c r="G213" s="3"/>
      <c r="H213" s="1">
        <v>2097.808</v>
      </c>
      <c r="I213" s="1">
        <f t="shared" si="52"/>
        <v>639.4118784</v>
      </c>
      <c r="J213" s="1">
        <f t="shared" si="53"/>
        <v>991551.1485999998</v>
      </c>
      <c r="K213" s="85">
        <f t="shared" si="58"/>
        <v>187.79377814393936</v>
      </c>
      <c r="L213" s="85">
        <f t="shared" si="51"/>
        <v>302.2247900932799</v>
      </c>
      <c r="M213" s="14">
        <v>0</v>
      </c>
      <c r="N213" s="1">
        <f t="shared" si="54"/>
        <v>0</v>
      </c>
      <c r="O213" s="1">
        <f t="shared" si="55"/>
        <v>0</v>
      </c>
      <c r="P213" s="15">
        <v>480</v>
      </c>
      <c r="Q213" s="1">
        <f t="shared" si="59"/>
        <v>480</v>
      </c>
      <c r="R213" s="1">
        <f t="shared" si="56"/>
        <v>44753.2373333325</v>
      </c>
      <c r="S213" s="1">
        <f t="shared" si="57"/>
        <v>85031.15093333175</v>
      </c>
      <c r="W213" s="2"/>
      <c r="Y213" s="1"/>
      <c r="Z213" s="1"/>
      <c r="AA213" s="1"/>
      <c r="AB213" s="3"/>
      <c r="AC213" s="1"/>
      <c r="AD213" s="1"/>
    </row>
    <row r="214" spans="1:30" ht="12.75">
      <c r="A214">
        <f t="shared" si="49"/>
        <v>211</v>
      </c>
      <c r="D214" s="1" t="s">
        <v>30</v>
      </c>
      <c r="E214" s="23">
        <f t="shared" si="50"/>
        <v>212</v>
      </c>
      <c r="F214" s="1">
        <v>1910</v>
      </c>
      <c r="G214" s="3">
        <f>5730/F214</f>
        <v>3</v>
      </c>
      <c r="H214" s="1">
        <v>4927.9249</v>
      </c>
      <c r="I214" s="1">
        <f t="shared" si="52"/>
        <v>1502.03150952</v>
      </c>
      <c r="J214" s="1">
        <f t="shared" si="53"/>
        <v>996479.0734999998</v>
      </c>
      <c r="K214" s="85">
        <f t="shared" si="58"/>
        <v>188.72709725378783</v>
      </c>
      <c r="L214" s="85">
        <f t="shared" si="51"/>
        <v>303.72682160279993</v>
      </c>
      <c r="M214" s="14">
        <v>0</v>
      </c>
      <c r="N214" s="1">
        <f t="shared" si="54"/>
        <v>0</v>
      </c>
      <c r="O214" s="1">
        <f t="shared" si="55"/>
        <v>0</v>
      </c>
      <c r="P214" s="15">
        <v>480</v>
      </c>
      <c r="Q214" s="1">
        <f t="shared" si="59"/>
        <v>480</v>
      </c>
      <c r="R214" s="1">
        <f t="shared" si="56"/>
        <v>105129.06453333299</v>
      </c>
      <c r="S214" s="1">
        <f t="shared" si="57"/>
        <v>199745.22261333268</v>
      </c>
      <c r="W214" s="2"/>
      <c r="Y214" s="1"/>
      <c r="Z214" s="1"/>
      <c r="AA214" s="1"/>
      <c r="AB214" s="3"/>
      <c r="AC214" s="1"/>
      <c r="AD214" s="1"/>
    </row>
    <row r="215" spans="1:30" ht="12.75">
      <c r="A215">
        <f t="shared" si="49"/>
        <v>212</v>
      </c>
      <c r="D215" s="1" t="s">
        <v>30</v>
      </c>
      <c r="E215" s="23">
        <f t="shared" si="50"/>
        <v>213</v>
      </c>
      <c r="F215" s="1"/>
      <c r="G215" s="3"/>
      <c r="H215" s="1">
        <v>3503.5316</v>
      </c>
      <c r="I215" s="1">
        <f t="shared" si="52"/>
        <v>1067.87643168</v>
      </c>
      <c r="J215" s="1">
        <f t="shared" si="53"/>
        <v>999982.6050999998</v>
      </c>
      <c r="K215" s="85">
        <f t="shared" si="58"/>
        <v>189.390644905303</v>
      </c>
      <c r="L215" s="85">
        <f t="shared" si="51"/>
        <v>304.79469803447995</v>
      </c>
      <c r="M215" s="14">
        <v>0</v>
      </c>
      <c r="N215" s="1">
        <f t="shared" si="54"/>
        <v>0</v>
      </c>
      <c r="O215" s="1">
        <f t="shared" si="55"/>
        <v>0</v>
      </c>
      <c r="P215" s="15">
        <v>480</v>
      </c>
      <c r="Q215" s="1">
        <f t="shared" si="59"/>
        <v>480</v>
      </c>
      <c r="R215" s="1">
        <f t="shared" si="56"/>
        <v>74742.0074666664</v>
      </c>
      <c r="S215" s="1">
        <f t="shared" si="57"/>
        <v>142009.81418666616</v>
      </c>
      <c r="W215" s="2"/>
      <c r="Y215" s="1"/>
      <c r="Z215" s="1"/>
      <c r="AA215" s="1"/>
      <c r="AB215" s="3"/>
      <c r="AC215" s="1"/>
      <c r="AD215" s="1"/>
    </row>
    <row r="216" spans="1:30" ht="12.75">
      <c r="A216">
        <f t="shared" si="49"/>
        <v>213</v>
      </c>
      <c r="D216" s="1" t="s">
        <v>30</v>
      </c>
      <c r="E216" s="23">
        <f t="shared" si="50"/>
        <v>214</v>
      </c>
      <c r="F216" s="1">
        <v>1910</v>
      </c>
      <c r="G216" s="3">
        <f>5730/F216</f>
        <v>3</v>
      </c>
      <c r="H216" s="1">
        <v>1330.9657</v>
      </c>
      <c r="I216" s="1">
        <f t="shared" si="52"/>
        <v>405.67834536000004</v>
      </c>
      <c r="J216" s="1">
        <f t="shared" si="53"/>
        <v>1001313.5707999998</v>
      </c>
      <c r="K216" s="85">
        <f t="shared" si="58"/>
        <v>189.6427217424242</v>
      </c>
      <c r="L216" s="85">
        <f t="shared" si="51"/>
        <v>305.20037637983995</v>
      </c>
      <c r="M216" s="14">
        <v>0</v>
      </c>
      <c r="N216" s="1">
        <f t="shared" si="54"/>
        <v>0</v>
      </c>
      <c r="O216" s="1">
        <f t="shared" si="55"/>
        <v>0</v>
      </c>
      <c r="P216" s="15">
        <v>480</v>
      </c>
      <c r="Q216" s="1">
        <f t="shared" si="59"/>
        <v>480</v>
      </c>
      <c r="R216" s="1">
        <f t="shared" si="56"/>
        <v>28393.934933332104</v>
      </c>
      <c r="S216" s="1">
        <f t="shared" si="57"/>
        <v>53948.476373330996</v>
      </c>
      <c r="V216" s="1"/>
      <c r="W216" s="2"/>
      <c r="AB216" s="3"/>
      <c r="AC216" s="1"/>
      <c r="AD216" s="1"/>
    </row>
    <row r="217" spans="1:30" ht="12.75">
      <c r="A217">
        <f t="shared" si="49"/>
        <v>214</v>
      </c>
      <c r="D217" s="1" t="s">
        <v>30</v>
      </c>
      <c r="E217" s="23">
        <f t="shared" si="50"/>
        <v>215</v>
      </c>
      <c r="F217" s="1"/>
      <c r="G217" s="3"/>
      <c r="H217" s="1">
        <v>6180.7066</v>
      </c>
      <c r="I217" s="1">
        <f t="shared" si="52"/>
        <v>1883.8793716800003</v>
      </c>
      <c r="J217" s="1">
        <f t="shared" si="53"/>
        <v>1007494.2773999998</v>
      </c>
      <c r="K217" s="85">
        <f t="shared" si="58"/>
        <v>190.81331011363633</v>
      </c>
      <c r="L217" s="85">
        <f t="shared" si="51"/>
        <v>307.08425575151995</v>
      </c>
      <c r="M217" s="14">
        <v>0</v>
      </c>
      <c r="N217" s="1">
        <f t="shared" si="54"/>
        <v>0</v>
      </c>
      <c r="O217" s="1">
        <f t="shared" si="55"/>
        <v>0</v>
      </c>
      <c r="P217" s="14">
        <v>0</v>
      </c>
      <c r="Q217" s="1">
        <f t="shared" si="59"/>
        <v>240</v>
      </c>
      <c r="R217" s="1">
        <f t="shared" si="56"/>
        <v>65927.53706666704</v>
      </c>
      <c r="S217" s="1">
        <f t="shared" si="57"/>
        <v>125262.32042666736</v>
      </c>
      <c r="W217" s="2"/>
      <c r="Y217" s="1"/>
      <c r="Z217" s="1"/>
      <c r="AA217" s="1"/>
      <c r="AB217" s="3"/>
      <c r="AC217" s="1"/>
      <c r="AD217" s="1"/>
    </row>
    <row r="218" spans="1:30" ht="12.75">
      <c r="A218">
        <f t="shared" si="49"/>
        <v>215</v>
      </c>
      <c r="D218" s="1" t="s">
        <v>30</v>
      </c>
      <c r="E218" s="23">
        <f t="shared" si="50"/>
        <v>216</v>
      </c>
      <c r="F218" s="1">
        <v>2865</v>
      </c>
      <c r="G218" s="3">
        <f>5730/F218</f>
        <v>2</v>
      </c>
      <c r="H218" s="1">
        <v>2060.2815</v>
      </c>
      <c r="I218" s="1">
        <f t="shared" si="52"/>
        <v>627.9738012</v>
      </c>
      <c r="J218" s="1">
        <f t="shared" si="53"/>
        <v>1009554.5588999998</v>
      </c>
      <c r="K218" s="85">
        <f t="shared" si="58"/>
        <v>191.20351494318177</v>
      </c>
      <c r="L218" s="85">
        <f t="shared" si="51"/>
        <v>307.71222955272</v>
      </c>
      <c r="M218" s="14">
        <v>0</v>
      </c>
      <c r="N218" s="1">
        <f t="shared" si="54"/>
        <v>0</v>
      </c>
      <c r="O218" s="1">
        <f t="shared" si="55"/>
        <v>0</v>
      </c>
      <c r="P218" s="15">
        <v>480</v>
      </c>
      <c r="Q218" s="1">
        <f t="shared" si="59"/>
        <v>240</v>
      </c>
      <c r="R218" s="1">
        <f t="shared" si="56"/>
        <v>21976.336000000436</v>
      </c>
      <c r="S218" s="1">
        <f t="shared" si="57"/>
        <v>41755.03840000083</v>
      </c>
      <c r="V218" s="1"/>
      <c r="W218" s="2"/>
      <c r="AB218" s="3"/>
      <c r="AC218" s="1"/>
      <c r="AD218" s="1"/>
    </row>
    <row r="219" spans="1:30" ht="12.75">
      <c r="A219">
        <f t="shared" si="49"/>
        <v>216</v>
      </c>
      <c r="D219" s="1" t="s">
        <v>30</v>
      </c>
      <c r="E219" s="23">
        <f t="shared" si="50"/>
        <v>217</v>
      </c>
      <c r="F219" s="1"/>
      <c r="G219" s="3"/>
      <c r="H219" s="1">
        <v>5255.6455</v>
      </c>
      <c r="I219" s="1">
        <f t="shared" si="52"/>
        <v>1601.9207483999999</v>
      </c>
      <c r="J219" s="1">
        <f t="shared" si="53"/>
        <v>1014810.2043999998</v>
      </c>
      <c r="K219" s="85">
        <f t="shared" si="58"/>
        <v>192.1989023484848</v>
      </c>
      <c r="L219" s="85">
        <f t="shared" si="51"/>
        <v>309.31415030112</v>
      </c>
      <c r="M219" s="14">
        <v>0</v>
      </c>
      <c r="N219" s="1">
        <f t="shared" si="54"/>
        <v>0</v>
      </c>
      <c r="O219" s="1">
        <f t="shared" si="55"/>
        <v>0</v>
      </c>
      <c r="P219" s="15">
        <v>480</v>
      </c>
      <c r="Q219" s="1">
        <f t="shared" si="59"/>
        <v>480</v>
      </c>
      <c r="R219" s="1">
        <f t="shared" si="56"/>
        <v>112120.437333333</v>
      </c>
      <c r="S219" s="1">
        <f t="shared" si="57"/>
        <v>213028.8309333327</v>
      </c>
      <c r="W219" s="2"/>
      <c r="Y219" s="1"/>
      <c r="Z219" s="1"/>
      <c r="AA219" s="1"/>
      <c r="AB219" s="3"/>
      <c r="AC219" s="1"/>
      <c r="AD219" s="1"/>
    </row>
    <row r="220" spans="1:30" ht="12.75">
      <c r="A220">
        <f t="shared" si="49"/>
        <v>217</v>
      </c>
      <c r="D220" s="1" t="s">
        <v>30</v>
      </c>
      <c r="E220" s="23">
        <f t="shared" si="50"/>
        <v>218</v>
      </c>
      <c r="F220" s="1">
        <v>2865</v>
      </c>
      <c r="G220" s="3">
        <f>5730/F220</f>
        <v>2</v>
      </c>
      <c r="H220" s="1">
        <v>2451.4622</v>
      </c>
      <c r="I220" s="1">
        <f t="shared" si="52"/>
        <v>747.20567856</v>
      </c>
      <c r="J220" s="1">
        <f t="shared" si="53"/>
        <v>1017261.6665999998</v>
      </c>
      <c r="K220" s="85">
        <f t="shared" si="58"/>
        <v>192.66319443181814</v>
      </c>
      <c r="L220" s="85">
        <f t="shared" si="51"/>
        <v>310.06135597968</v>
      </c>
      <c r="M220" s="14">
        <v>0</v>
      </c>
      <c r="N220" s="1">
        <f t="shared" si="54"/>
        <v>0</v>
      </c>
      <c r="O220" s="1">
        <f t="shared" si="55"/>
        <v>0</v>
      </c>
      <c r="P220" s="15">
        <v>480</v>
      </c>
      <c r="Q220" s="1">
        <f t="shared" si="59"/>
        <v>480</v>
      </c>
      <c r="R220" s="1">
        <f t="shared" si="56"/>
        <v>52297.860266665615</v>
      </c>
      <c r="S220" s="1">
        <f t="shared" si="57"/>
        <v>99365.93450666466</v>
      </c>
      <c r="W220" s="2"/>
      <c r="AB220" s="3"/>
      <c r="AC220" s="1"/>
      <c r="AD220" s="1"/>
    </row>
    <row r="221" spans="1:30" ht="12.75">
      <c r="A221">
        <f t="shared" si="49"/>
        <v>218</v>
      </c>
      <c r="B221" s="1"/>
      <c r="C221" s="1"/>
      <c r="D221" s="1" t="s">
        <v>30</v>
      </c>
      <c r="E221" s="23">
        <f t="shared" si="50"/>
        <v>219</v>
      </c>
      <c r="F221" s="1"/>
      <c r="G221" s="3"/>
      <c r="H221" s="1">
        <v>9419.6842</v>
      </c>
      <c r="I221" s="1">
        <f t="shared" si="52"/>
        <v>2871.11974416</v>
      </c>
      <c r="J221" s="1">
        <f t="shared" si="53"/>
        <v>1026681.3507999998</v>
      </c>
      <c r="K221" s="85">
        <f t="shared" si="58"/>
        <v>194.447225530303</v>
      </c>
      <c r="L221" s="85">
        <f t="shared" si="51"/>
        <v>312.93247572384</v>
      </c>
      <c r="M221" s="14">
        <v>0</v>
      </c>
      <c r="N221" s="1">
        <f t="shared" si="54"/>
        <v>0</v>
      </c>
      <c r="O221" s="1">
        <f t="shared" si="55"/>
        <v>0</v>
      </c>
      <c r="P221" s="15">
        <v>480</v>
      </c>
      <c r="Q221" s="1">
        <f t="shared" si="59"/>
        <v>480</v>
      </c>
      <c r="R221" s="1">
        <f t="shared" si="56"/>
        <v>200953.26293333372</v>
      </c>
      <c r="S221" s="1">
        <f t="shared" si="57"/>
        <v>381811.1995733341</v>
      </c>
      <c r="W221" s="2"/>
      <c r="Y221" s="1"/>
      <c r="Z221" s="1"/>
      <c r="AA221" s="1"/>
      <c r="AB221" s="3"/>
      <c r="AC221" s="1"/>
      <c r="AD221" s="1"/>
    </row>
    <row r="222" spans="2:30" ht="12.75">
      <c r="B222" s="1"/>
      <c r="C222" s="1"/>
      <c r="D222" s="1" t="s">
        <v>30</v>
      </c>
      <c r="E222" s="23">
        <f t="shared" si="50"/>
        <v>220</v>
      </c>
      <c r="F222" s="1">
        <v>2865</v>
      </c>
      <c r="G222" s="3">
        <f>5730/F222</f>
        <v>2</v>
      </c>
      <c r="H222" s="1">
        <v>3144.1481</v>
      </c>
      <c r="I222" s="1">
        <f t="shared" si="52"/>
        <v>958.33634088</v>
      </c>
      <c r="J222" s="1">
        <f t="shared" si="53"/>
        <v>1029825.4988999998</v>
      </c>
      <c r="K222" s="85">
        <f t="shared" si="58"/>
        <v>195.04270812499996</v>
      </c>
      <c r="L222" s="85">
        <f t="shared" si="51"/>
        <v>313.89081206472</v>
      </c>
      <c r="M222" s="14">
        <v>0</v>
      </c>
      <c r="N222" s="1">
        <f t="shared" si="54"/>
        <v>0</v>
      </c>
      <c r="O222" s="1">
        <f t="shared" si="55"/>
        <v>0</v>
      </c>
      <c r="P222" s="15">
        <v>480</v>
      </c>
      <c r="Q222" s="1">
        <f t="shared" si="59"/>
        <v>480</v>
      </c>
      <c r="R222" s="1">
        <f t="shared" si="56"/>
        <v>67075.15946666648</v>
      </c>
      <c r="S222" s="1">
        <f t="shared" si="57"/>
        <v>127442.8029866663</v>
      </c>
      <c r="W222" s="2"/>
      <c r="Y222" s="1"/>
      <c r="Z222" s="1"/>
      <c r="AA222" s="1"/>
      <c r="AB222" s="3"/>
      <c r="AC222" s="1"/>
      <c r="AD222" s="1"/>
    </row>
    <row r="223" spans="1:30" ht="12.75">
      <c r="A223">
        <f>+A221+1</f>
        <v>219</v>
      </c>
      <c r="D223" s="1" t="s">
        <v>30</v>
      </c>
      <c r="E223" s="23">
        <f t="shared" si="50"/>
        <v>221</v>
      </c>
      <c r="F223" s="1"/>
      <c r="G223" s="3"/>
      <c r="H223" s="1">
        <v>2235.392</v>
      </c>
      <c r="I223" s="1">
        <f t="shared" si="52"/>
        <v>681.3474816</v>
      </c>
      <c r="J223" s="1">
        <f t="shared" si="53"/>
        <v>1032060.8908999998</v>
      </c>
      <c r="K223" s="85">
        <f t="shared" si="58"/>
        <v>195.46607782196966</v>
      </c>
      <c r="L223" s="85">
        <f t="shared" si="51"/>
        <v>314.57215954632005</v>
      </c>
      <c r="M223" s="14">
        <v>0</v>
      </c>
      <c r="N223" s="1">
        <f t="shared" si="54"/>
        <v>0</v>
      </c>
      <c r="O223" s="1">
        <f t="shared" si="55"/>
        <v>0</v>
      </c>
      <c r="P223" s="15">
        <v>480</v>
      </c>
      <c r="Q223" s="1">
        <f t="shared" si="59"/>
        <v>480</v>
      </c>
      <c r="R223" s="1">
        <f t="shared" si="56"/>
        <v>47688.36266666651</v>
      </c>
      <c r="S223" s="1">
        <f t="shared" si="57"/>
        <v>90607.88906666636</v>
      </c>
      <c r="W223" s="2"/>
      <c r="Y223" s="1"/>
      <c r="Z223" s="1"/>
      <c r="AA223" s="1"/>
      <c r="AB223" s="3"/>
      <c r="AC223" s="1"/>
      <c r="AD223" s="1"/>
    </row>
    <row r="224" spans="1:30" ht="12.75">
      <c r="A224">
        <f>+A223+1</f>
        <v>220</v>
      </c>
      <c r="C224" s="1"/>
      <c r="D224" s="1" t="s">
        <v>30</v>
      </c>
      <c r="E224" s="23">
        <f t="shared" si="50"/>
        <v>222</v>
      </c>
      <c r="F224" s="1">
        <v>2865</v>
      </c>
      <c r="G224" s="3">
        <f>5730/F224</f>
        <v>2</v>
      </c>
      <c r="H224" s="1">
        <v>3725.0624</v>
      </c>
      <c r="I224" s="1">
        <f t="shared" si="52"/>
        <v>1135.39901952</v>
      </c>
      <c r="J224" s="1">
        <f t="shared" si="53"/>
        <v>1035785.9532999998</v>
      </c>
      <c r="K224" s="85">
        <f t="shared" si="58"/>
        <v>196.1715820643939</v>
      </c>
      <c r="L224" s="85">
        <f t="shared" si="51"/>
        <v>315.70755856584003</v>
      </c>
      <c r="M224" s="14">
        <v>0</v>
      </c>
      <c r="N224" s="1">
        <f t="shared" si="54"/>
        <v>0</v>
      </c>
      <c r="O224" s="1">
        <f t="shared" si="55"/>
        <v>0</v>
      </c>
      <c r="P224" s="15">
        <v>480</v>
      </c>
      <c r="Q224" s="1">
        <f t="shared" si="59"/>
        <v>480</v>
      </c>
      <c r="R224" s="1">
        <f t="shared" si="56"/>
        <v>79467.9978666678</v>
      </c>
      <c r="S224" s="1">
        <f t="shared" si="57"/>
        <v>150989.19594666883</v>
      </c>
      <c r="W224" s="2"/>
      <c r="Y224" s="1"/>
      <c r="Z224" s="1"/>
      <c r="AA224" s="1"/>
      <c r="AB224" s="3"/>
      <c r="AC224" s="1"/>
      <c r="AD224" s="1"/>
    </row>
    <row r="225" spans="3:30" ht="12.75">
      <c r="C225" s="1"/>
      <c r="D225" s="1" t="s">
        <v>30</v>
      </c>
      <c r="E225" s="23">
        <f t="shared" si="50"/>
        <v>223</v>
      </c>
      <c r="F225" s="1"/>
      <c r="G225" s="3"/>
      <c r="H225" s="1">
        <v>4302.1751</v>
      </c>
      <c r="I225" s="1">
        <f t="shared" si="52"/>
        <v>1311.30297048</v>
      </c>
      <c r="J225" s="1">
        <f t="shared" si="53"/>
        <v>1040088.1283999998</v>
      </c>
      <c r="K225" s="85">
        <f t="shared" si="58"/>
        <v>196.98638795454542</v>
      </c>
      <c r="L225" s="85">
        <f t="shared" si="51"/>
        <v>317.01886153632006</v>
      </c>
      <c r="M225" s="14">
        <v>0</v>
      </c>
      <c r="N225" s="1">
        <f t="shared" si="54"/>
        <v>0</v>
      </c>
      <c r="O225" s="1">
        <f t="shared" si="55"/>
        <v>0</v>
      </c>
      <c r="P225" s="15">
        <v>480</v>
      </c>
      <c r="Q225" s="1">
        <f t="shared" si="59"/>
        <v>480</v>
      </c>
      <c r="R225" s="1">
        <f t="shared" si="56"/>
        <v>91779.73546666652</v>
      </c>
      <c r="S225" s="1">
        <f t="shared" si="57"/>
        <v>174381.4973866664</v>
      </c>
      <c r="W225" s="2"/>
      <c r="Y225" s="1"/>
      <c r="Z225" s="1"/>
      <c r="AA225" s="1"/>
      <c r="AB225" s="3"/>
      <c r="AC225" s="1"/>
      <c r="AD225" s="1"/>
    </row>
    <row r="226" spans="3:30" ht="12.75">
      <c r="C226" s="1"/>
      <c r="D226" s="1" t="s">
        <v>30</v>
      </c>
      <c r="E226" s="23">
        <f t="shared" si="50"/>
        <v>224</v>
      </c>
      <c r="F226" s="1">
        <v>1910</v>
      </c>
      <c r="G226" s="3">
        <f>5730/F226</f>
        <v>3</v>
      </c>
      <c r="H226" s="1">
        <v>1311.0327</v>
      </c>
      <c r="I226" s="1">
        <f t="shared" si="52"/>
        <v>399.60276696</v>
      </c>
      <c r="J226" s="1">
        <f t="shared" si="53"/>
        <v>1041399.1610999998</v>
      </c>
      <c r="K226" s="85">
        <f t="shared" si="58"/>
        <v>197.23468960227268</v>
      </c>
      <c r="L226" s="85">
        <f t="shared" si="51"/>
        <v>317.4184643032801</v>
      </c>
      <c r="M226" s="14">
        <v>0</v>
      </c>
      <c r="N226" s="1">
        <f t="shared" si="54"/>
        <v>0</v>
      </c>
      <c r="O226" s="1">
        <f t="shared" si="55"/>
        <v>0</v>
      </c>
      <c r="P226" s="15">
        <v>480</v>
      </c>
      <c r="Q226" s="1">
        <f t="shared" si="59"/>
        <v>480</v>
      </c>
      <c r="R226" s="1">
        <f t="shared" si="56"/>
        <v>27968.697599999607</v>
      </c>
      <c r="S226" s="1">
        <f t="shared" si="57"/>
        <v>53140.52543999925</v>
      </c>
      <c r="W226" s="2"/>
      <c r="Y226" s="1"/>
      <c r="Z226" s="1"/>
      <c r="AA226" s="1"/>
      <c r="AB226" s="3"/>
      <c r="AC226" s="1"/>
      <c r="AD226" s="1"/>
    </row>
    <row r="227" spans="1:30" ht="12.75">
      <c r="A227">
        <f>+A224+1</f>
        <v>221</v>
      </c>
      <c r="D227" s="1" t="s">
        <v>30</v>
      </c>
      <c r="E227" s="23">
        <f t="shared" si="50"/>
        <v>225</v>
      </c>
      <c r="H227" s="1">
        <v>3536.3449</v>
      </c>
      <c r="I227" s="1">
        <f t="shared" si="52"/>
        <v>1077.87792552</v>
      </c>
      <c r="J227" s="1">
        <f t="shared" si="53"/>
        <v>1044935.5059999998</v>
      </c>
      <c r="K227" s="85">
        <f t="shared" si="58"/>
        <v>197.90445189393935</v>
      </c>
      <c r="L227" s="85">
        <f t="shared" si="51"/>
        <v>318.4963422288001</v>
      </c>
      <c r="M227" s="14">
        <v>0</v>
      </c>
      <c r="N227" s="1">
        <f t="shared" si="54"/>
        <v>0</v>
      </c>
      <c r="O227" s="1">
        <f t="shared" si="55"/>
        <v>0</v>
      </c>
      <c r="P227" s="15">
        <v>480</v>
      </c>
      <c r="Q227" s="1">
        <f t="shared" si="59"/>
        <v>480</v>
      </c>
      <c r="R227" s="1">
        <f t="shared" si="56"/>
        <v>75442.02453333388</v>
      </c>
      <c r="S227" s="1">
        <f t="shared" si="57"/>
        <v>143339.84661333438</v>
      </c>
      <c r="W227" s="2"/>
      <c r="Y227" s="1"/>
      <c r="Z227" s="1"/>
      <c r="AA227" s="1"/>
      <c r="AB227" s="3"/>
      <c r="AC227" s="1"/>
      <c r="AD227" s="1"/>
    </row>
    <row r="228" spans="1:30" ht="12.75">
      <c r="A228">
        <f t="shared" si="49"/>
        <v>222</v>
      </c>
      <c r="D228" s="1"/>
      <c r="F228" s="2"/>
      <c r="G228" s="2"/>
      <c r="H228" s="1">
        <f>SUM(H4:H227)</f>
        <v>1044935.5059999998</v>
      </c>
      <c r="I228" s="1">
        <f>SUM(I4:I227)</f>
        <v>318496.3422287999</v>
      </c>
      <c r="J228" s="1"/>
      <c r="L228" t="s">
        <v>180</v>
      </c>
      <c r="O228" s="1">
        <f>SUM(O5:O227)</f>
        <v>3863956.0523288925</v>
      </c>
      <c r="R228" s="1">
        <f>SUM(R5:R227)</f>
        <v>17131064.518035553</v>
      </c>
      <c r="S228" s="1">
        <f t="shared" si="57"/>
        <v>25207506.084842656</v>
      </c>
      <c r="W228" s="2"/>
      <c r="Y228" s="1"/>
      <c r="Z228" s="1"/>
      <c r="AA228" s="1"/>
      <c r="AB228" s="3"/>
      <c r="AC228" s="1"/>
      <c r="AD228" s="1"/>
    </row>
    <row r="229" spans="1:30" ht="12.75">
      <c r="A229">
        <f t="shared" si="49"/>
        <v>223</v>
      </c>
      <c r="E229" s="2"/>
      <c r="F229" s="2"/>
      <c r="G229" s="2"/>
      <c r="H229" s="1">
        <f>+H228/5280</f>
        <v>197.90445189393935</v>
      </c>
      <c r="I229" t="s">
        <v>0</v>
      </c>
      <c r="K229" s="1"/>
      <c r="L229" s="1"/>
      <c r="M229" s="1"/>
      <c r="N229" s="1"/>
      <c r="O229" s="1"/>
      <c r="P229" s="1"/>
      <c r="Q229" s="1"/>
      <c r="R229" s="1"/>
      <c r="S229" s="1"/>
      <c r="W229" s="2"/>
      <c r="Y229" s="1"/>
      <c r="Z229" s="1"/>
      <c r="AA229" s="1"/>
      <c r="AB229" s="3"/>
      <c r="AC229" s="1"/>
      <c r="AD229" s="1"/>
    </row>
    <row r="230" spans="1:30" ht="12.75">
      <c r="A230">
        <f t="shared" si="49"/>
        <v>224</v>
      </c>
      <c r="E230" s="2"/>
      <c r="F230" s="2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W230" s="2"/>
      <c r="Y230" s="1"/>
      <c r="Z230" s="1"/>
      <c r="AA230" s="1"/>
      <c r="AB230" s="3"/>
      <c r="AC230" s="1"/>
      <c r="AD230" s="1"/>
    </row>
    <row r="231" spans="1:30" ht="12.75">
      <c r="A231">
        <f t="shared" si="49"/>
        <v>225</v>
      </c>
      <c r="B231" s="4"/>
      <c r="E231" s="2"/>
      <c r="F231" s="2"/>
      <c r="G231" s="2"/>
      <c r="H231" s="1">
        <f>+H228*4.8</f>
        <v>5015690.428799999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 t="s">
        <v>189</v>
      </c>
      <c r="V231" s="24">
        <f>+H229*37000</f>
        <v>7322464.720075756</v>
      </c>
      <c r="W231" s="2" t="s">
        <v>190</v>
      </c>
      <c r="Y231" s="1"/>
      <c r="Z231" s="1"/>
      <c r="AA231" s="1"/>
      <c r="AB231" s="3"/>
      <c r="AC231" s="1"/>
      <c r="AD231" s="1"/>
    </row>
    <row r="232" spans="1:30" ht="12.75">
      <c r="A232">
        <f t="shared" si="49"/>
        <v>226</v>
      </c>
      <c r="E232" s="2"/>
      <c r="F232" s="2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W232" s="2"/>
      <c r="Y232" s="1"/>
      <c r="Z232" s="1"/>
      <c r="AA232" s="1"/>
      <c r="AB232" s="3"/>
      <c r="AC232" s="1"/>
      <c r="AD232" s="1"/>
    </row>
    <row r="233" spans="1:30" ht="12.75">
      <c r="A233">
        <f t="shared" si="49"/>
        <v>227</v>
      </c>
      <c r="C233" s="4"/>
      <c r="E233" s="2"/>
      <c r="F233" s="2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"/>
      <c r="Y233" s="1"/>
      <c r="Z233" s="1"/>
      <c r="AA233" s="1"/>
      <c r="AB233" s="3"/>
      <c r="AC233" s="1"/>
      <c r="AD233" s="1"/>
    </row>
    <row r="234" spans="1:30" ht="12.75">
      <c r="A234">
        <f t="shared" si="49"/>
        <v>228</v>
      </c>
      <c r="E234" s="2"/>
      <c r="F234" s="2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W234" s="2"/>
      <c r="Y234" s="1"/>
      <c r="Z234" s="1"/>
      <c r="AA234" s="1"/>
      <c r="AB234" s="3"/>
      <c r="AC234" s="1"/>
      <c r="AD234" s="1"/>
    </row>
    <row r="235" spans="1:30" ht="12.75">
      <c r="A235">
        <f t="shared" si="49"/>
        <v>229</v>
      </c>
      <c r="E235" s="2"/>
      <c r="F235" s="2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W235" s="2"/>
      <c r="Y235" s="1"/>
      <c r="Z235" s="1"/>
      <c r="AA235" s="1"/>
      <c r="AB235" s="3"/>
      <c r="AC235" s="1"/>
      <c r="AD235" s="1"/>
    </row>
    <row r="236" spans="1:30" ht="12.75">
      <c r="A236">
        <f t="shared" si="49"/>
        <v>230</v>
      </c>
      <c r="E236" s="2"/>
      <c r="F236" s="2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W236" s="2"/>
      <c r="Y236" s="1"/>
      <c r="Z236" s="1"/>
      <c r="AA236" s="1"/>
      <c r="AB236" s="3"/>
      <c r="AC236" s="1"/>
      <c r="AD236" s="1"/>
    </row>
    <row r="237" spans="1:30" ht="12.75">
      <c r="A237">
        <f t="shared" si="49"/>
        <v>231</v>
      </c>
      <c r="E237" s="2"/>
      <c r="F237" s="2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W237" s="2"/>
      <c r="Y237" s="1"/>
      <c r="Z237" s="1"/>
      <c r="AA237" s="1"/>
      <c r="AB237" s="3"/>
      <c r="AC237" s="1"/>
      <c r="AD237" s="1"/>
    </row>
    <row r="238" spans="1:30" ht="12.75">
      <c r="A238">
        <f t="shared" si="49"/>
        <v>232</v>
      </c>
      <c r="E238" s="2"/>
      <c r="F238" s="2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W238" s="2"/>
      <c r="Y238" s="1"/>
      <c r="Z238" s="1"/>
      <c r="AA238" s="1"/>
      <c r="AB238" s="3"/>
      <c r="AC238" s="1"/>
      <c r="AD238" s="1"/>
    </row>
    <row r="239" spans="1:30" ht="12.75">
      <c r="A239">
        <f t="shared" si="49"/>
        <v>233</v>
      </c>
      <c r="E239" s="2"/>
      <c r="F239" s="2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W239" s="2"/>
      <c r="Y239" s="1"/>
      <c r="Z239" s="1"/>
      <c r="AA239" s="1"/>
      <c r="AB239" s="3"/>
      <c r="AC239" s="1"/>
      <c r="AD239" s="1"/>
    </row>
    <row r="240" spans="1:30" ht="12.75">
      <c r="A240">
        <f t="shared" si="49"/>
        <v>234</v>
      </c>
      <c r="E240" s="2"/>
      <c r="F240" s="2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W240" s="2"/>
      <c r="Y240" s="1"/>
      <c r="Z240" s="1"/>
      <c r="AA240" s="1"/>
      <c r="AB240" s="3"/>
      <c r="AC240" s="1"/>
      <c r="AD240" s="1"/>
    </row>
    <row r="241" spans="1:30" ht="12.75">
      <c r="A241">
        <v>1</v>
      </c>
      <c r="C241" s="1"/>
      <c r="E241" s="2"/>
      <c r="F241" s="2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V241" s="1"/>
      <c r="W241" s="2"/>
      <c r="Y241" s="1"/>
      <c r="Z241" s="1"/>
      <c r="AA241" s="1"/>
      <c r="AB241" s="3"/>
      <c r="AC241" s="1"/>
      <c r="AD241" s="1"/>
    </row>
    <row r="242" spans="3:19" ht="12.75">
      <c r="C242" s="1"/>
      <c r="E242" s="2"/>
      <c r="F242" s="2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5:19" ht="12.75">
      <c r="E243" s="2"/>
      <c r="F243" s="2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5:19" ht="12.75">
      <c r="E244" s="2"/>
      <c r="F244" s="2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5:19" ht="12.75">
      <c r="E245" s="2"/>
      <c r="F245" s="2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5:19" ht="12.75">
      <c r="E246" s="2"/>
      <c r="F246" s="2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5:19" ht="12.75">
      <c r="E247" s="2"/>
      <c r="F247" s="2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5:19" ht="12.75">
      <c r="E248" s="2"/>
      <c r="F248" s="2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5:19" ht="12.75">
      <c r="E249" s="2"/>
      <c r="F249" s="2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5:19" ht="12.75">
      <c r="E250" s="2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5:19" ht="12.75">
      <c r="E251" s="2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5:19" ht="12.75">
      <c r="E252" s="2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5:19" ht="12.75">
      <c r="E253" s="2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5:19" ht="12.75">
      <c r="E254" s="2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5:19" ht="12.75">
      <c r="E255" s="2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5:19" ht="12.75">
      <c r="E256" s="2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5:19" ht="12.75">
      <c r="E257" s="2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5:19" ht="12.75">
      <c r="E258" s="2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5:19" ht="12.75">
      <c r="E259" s="2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5:19" ht="12.75">
      <c r="E260" s="2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5:19" ht="12.75">
      <c r="E261" s="2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5:19" ht="12.75">
      <c r="E262" s="2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5:19" ht="12.75">
      <c r="E263" s="2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5:19" ht="12.75">
      <c r="E264" s="2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5:19" ht="12.75">
      <c r="E265" s="2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5:19" ht="12.75">
      <c r="E266" s="2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5:19" ht="12.75">
      <c r="E267" s="2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5:19" ht="12.75">
      <c r="E268" s="2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5:19" ht="12.75">
      <c r="E269" s="2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5:19" ht="12.75">
      <c r="E270" s="2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5:19" ht="12.75">
      <c r="E271" s="2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5:19" ht="12.75">
      <c r="E272" s="2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5:19" ht="12.75">
      <c r="E273" s="2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5:19" ht="12.75">
      <c r="E274" s="2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8:19" ht="12.75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8:19" ht="12.75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8:19" ht="12.75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8:19" ht="12.75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8:19" ht="12.75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8:19" ht="12.75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8:19" ht="12.75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8:19" ht="12.75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8:19" ht="12.75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8:19" ht="12.75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8:19" ht="12.75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8:19" ht="12.75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8:19" ht="12.75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8:19" ht="12.75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8:19" ht="12.75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8:19" ht="12.75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8:19" ht="12.75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8:19" ht="12.75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8:19" ht="12.75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8:19" ht="12.75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8:19" ht="12.75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8:19" ht="12.75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8:19" ht="12.75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8:19" ht="12.75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8:19" ht="12.75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8:19" ht="12.75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8:19" ht="12.75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8:19" ht="12.75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8:19" ht="12.75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8:19" ht="12.75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8:19" ht="12.75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8:19" ht="12.75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8:19" ht="12.75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8:19" ht="12.75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8:19" ht="12.75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8:19" ht="12.75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8:19" ht="12.75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8:19" ht="12.75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8:19" ht="12.75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8:19" ht="12.75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8:19" ht="12.75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8:19" ht="12.75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8:19" ht="12.75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8:19" ht="12.75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8:19" ht="12.75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8:19" ht="12.75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8:19" ht="12.75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8:19" ht="12.75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8:19" ht="12.75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8:19" ht="12.75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8:19" ht="12.75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8:19" ht="12.75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8:19" ht="12.75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8:19" ht="12.75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8:19" ht="12.75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8:19" ht="12.75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8:19" ht="12.75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8:19" ht="12.75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8:19" ht="12.75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8:19" ht="12.75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8:19" ht="12.75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8:19" ht="12.75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8:19" ht="12.75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8:19" ht="12.75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8:19" ht="12.75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8:19" ht="12.75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8:19" ht="12.75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8:19" ht="12.75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8:19" ht="12.75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8:19" ht="12.75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8:19" ht="12.75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8:19" ht="12.75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8:19" ht="12.75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8:19" ht="12.75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8:19" ht="12.75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8:19" ht="12.75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8:19" ht="12.75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8:19" ht="12.75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8:19" ht="12.75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8:19" ht="12.75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8:19" ht="12.75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8:19" ht="12.75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8:19" ht="12.75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8:19" ht="12.75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8:19" ht="12.75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8:19" ht="12.75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8:19" ht="12.75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8:19" ht="12.75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8:19" ht="12.75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8:19" ht="12.75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8:19" ht="12.75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8:19" ht="12.75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8:19" ht="12.75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8:19" ht="12.75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8:19" ht="12.75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8:19" ht="12.75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8:19" ht="12.75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8:19" ht="12.75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8:19" ht="12.75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8:19" ht="12.75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8:19" ht="12.75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8:19" ht="12.75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8:19" ht="12.75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8:19" ht="12.75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8:19" ht="12.75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8:19" ht="12.75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8:19" ht="12.75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8:19" ht="12.75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8:19" ht="12.75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8:19" ht="12.75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8:19" ht="12.75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8:19" ht="12.75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8:19" ht="12.75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8:19" ht="12.75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8:19" ht="12.75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8:19" ht="12.75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8:19" ht="12.75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8:19" ht="12.75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8:19" ht="12.75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8:19" ht="12.75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8:19" ht="12.75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8:19" ht="12.75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8:19" ht="12.75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8:19" ht="12.75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8:19" ht="12.75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8:19" ht="12.75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8:19" ht="12.75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8:19" ht="12.75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8:19" ht="12.75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8:19" ht="12.75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8:19" ht="12.75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8:19" ht="12.75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8:19" ht="12.75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8:19" ht="12.75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8:19" ht="12.75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8:19" ht="12.75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8:19" ht="12.75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8:19" ht="12.75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8:19" ht="12.75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8:19" ht="12.75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8:19" ht="12.75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8:19" ht="12.75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8:19" ht="12.75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8:19" ht="12.75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8:19" ht="12.75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8:19" ht="12.75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8:19" ht="12.75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8:19" ht="12.75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8:19" ht="12.75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8:19" ht="12.75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8:19" ht="12.75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8:19" ht="12.75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8:19" ht="12.75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8:19" ht="12.75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8:19" ht="12.75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8:19" ht="12.75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8:19" ht="12.75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8:19" ht="12.75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8:19" ht="12.75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8:19" ht="12.75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8:19" ht="12.75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8:19" ht="12.75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8:19" ht="12.75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8:19" ht="12.75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8:19" ht="12.75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8:19" ht="12.75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8:19" ht="12.75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8:19" ht="12.75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8:19" ht="12.75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8:19" ht="12.75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8:19" ht="12.75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8:19" ht="12.75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8:19" ht="12.75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8:19" ht="12.75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8:19" ht="12.75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8:19" ht="12.75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8:19" ht="12.75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8:19" ht="12.75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8:19" ht="12.75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8:19" ht="12.75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8:19" ht="12.75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8:19" ht="12.75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8:19" ht="12.75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8:19" ht="12.75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8:19" ht="12.75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8:19" ht="12.75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8:19" ht="12.75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8:19" ht="12.75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8:19" ht="12.75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8:19" ht="12.75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8:19" ht="12.75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8:19" ht="12.75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8:19" ht="12.75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8:19" ht="12.75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8:19" ht="12.75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8:19" ht="12.75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8:19" ht="12.75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8:19" ht="12.75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8:19" ht="12.75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8:19" ht="12.75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8:19" ht="12.75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8:19" ht="12.75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8:19" ht="12.75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8:19" ht="12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8:19" ht="12.75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8:19" ht="12.75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8:19" ht="12.75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8:19" ht="12.75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8:19" ht="12.75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8:19" ht="12.75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8:19" ht="12.75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8:19" ht="12.75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8:19" ht="12.75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8:19" ht="12.75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8:19" ht="12.75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8:19" ht="12.75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8:19" ht="12.75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8:19" ht="12.75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8:19" ht="12.75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8:19" ht="12.75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8:19" ht="12.75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8:19" ht="12.75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8:19" ht="12.75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8:19" ht="12.75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8:19" ht="12.75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8:19" ht="12.75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8:19" ht="12.75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8:19" ht="12.7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8:19" ht="12.75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8:19" ht="12.75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8:19" ht="12.75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8:19" ht="12.7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8:19" ht="12.75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8:19" ht="12.75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8:19" ht="12.75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8:19" ht="12.75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8:19" ht="12.75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8:19" ht="12.75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8:19" ht="12.75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8:19" ht="12.75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8:19" ht="12.75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8:19" ht="12.75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8:19" ht="12.75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8:19" ht="12.7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8:19" ht="12.75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8:19" ht="12.75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8:19" ht="12.75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8:19" ht="12.75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8:19" ht="12.75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8:19" ht="12.7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8:19" ht="12.7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8:19" ht="12.7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8:19" ht="12.7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8:19" ht="12.7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8:19" ht="12.7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8:19" ht="12.7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8:19" ht="12.7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8:19" ht="12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8:19" ht="12.7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8:19" ht="12.7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8:19" ht="12.7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8:19" ht="12.7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8:19" ht="12.7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8:19" ht="12.7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8:19" ht="12.7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8:19" ht="12.7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8:19" ht="12.7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8:19" ht="12.7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8:19" ht="12.7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8:19" ht="12.7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8:19" ht="12.7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8:19" ht="12.7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8:19" ht="12.7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8:19" ht="12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8:19" ht="12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8:19" ht="12.7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8:19" ht="12.7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8:19" ht="12.7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8:19" ht="12.7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8:19" ht="12.7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8:19" ht="12.7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8:19" ht="12.7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8:19" ht="12.7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8:19" ht="12.7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8:19" ht="12.7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8:19" ht="12.7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8:19" ht="12.7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8:19" ht="12.7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8:19" ht="12.7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8:19" ht="12.7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8:19" ht="12.7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8:19" ht="12.7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8:19" ht="12.7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8:19" ht="12.7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8:19" ht="12.7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8:19" ht="12.7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8:19" ht="12.7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8:19" ht="12.7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8:19" ht="12.7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8:19" ht="12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8:19" ht="12.7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8:19" ht="12.7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8:19" ht="12.7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8:19" ht="12.7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8:19" ht="12.7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8:19" ht="12.7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8:19" ht="12.7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8:19" ht="12.7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8:19" ht="12.7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8:19" ht="12.7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8:19" ht="12.7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8:19" ht="12.7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8:19" ht="12.7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8:19" ht="12.7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8:19" ht="12.7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8:19" ht="12.7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8:19" ht="12.7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8:19" ht="12.7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8:19" ht="12.7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8:19" ht="12.7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8:19" ht="12.7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8:19" ht="12.7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8:19" ht="12.7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8:19" ht="12.7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8:19" ht="12.7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8:19" ht="12.7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8:19" ht="12.7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8:19" ht="12.7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8:19" ht="12.7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8:19" ht="12.7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8:19" ht="12.7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8:19" ht="12.7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8:19" ht="12.7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8:19" ht="12.7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8:19" ht="12.7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8:19" ht="12.7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8:19" ht="12.7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8:19" ht="12.7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8:19" ht="12.7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8:19" ht="12.7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8:19" ht="12.7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8:19" ht="12.7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8:19" ht="12.7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8:19" ht="12.7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8:19" ht="12.7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8:19" ht="12.7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8:19" ht="12.7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8:19" ht="12.7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8:19" ht="12.7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8:19" ht="12.7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8:19" ht="12.7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8:19" ht="12.7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8:19" ht="12.7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8:19" ht="12.7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8:19" ht="12.7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8:19" ht="12.7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8:19" ht="12.7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8:19" ht="12.7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8:19" ht="12.7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8:19" ht="12.75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8:19" ht="12.75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8:19" ht="12.75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8:19" ht="12.75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8:19" ht="12.75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8:19" ht="12.75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8:19" ht="12.75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8:19" ht="12.75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8:19" ht="12.75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8:19" ht="12.75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8:19" ht="12.75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8:19" ht="12.75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8:19" ht="12.75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8:19" ht="12.75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8:19" ht="12.75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8:19" ht="12.75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8:19" ht="12.75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8:19" ht="12.75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8:19" ht="12.75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8:19" ht="12.75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8:19" ht="12.75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8:19" ht="12.75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8:19" ht="12.75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8:19" ht="12.75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8:19" ht="12.75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8:19" ht="12.75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8:19" ht="12.75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8:19" ht="12.75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8:19" ht="12.75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8:19" ht="12.75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8:19" ht="12.75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8:19" ht="12.75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8:19" ht="12.75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8:19" ht="12.75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8:19" ht="12.75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8:19" ht="12.75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8:19" ht="12.75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8:19" ht="12.75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8:19" ht="12.75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8:19" ht="12.75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8:19" ht="12.75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8:19" ht="12.75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8:19" ht="12.75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8:19" ht="12.75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8:19" ht="12.75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8:19" ht="12.75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8:19" ht="12.75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8:19" ht="12.75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8:19" ht="12.75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8:19" ht="12.75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8:19" ht="12.75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8:19" ht="12.75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8:19" ht="12.75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8:19" ht="12.75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8:19" ht="12.75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8:19" ht="12.75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8:19" ht="12.75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8:19" ht="12.75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8:19" ht="12.75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8:19" ht="12.75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8:19" ht="12.75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8:19" ht="12.75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8:19" ht="12.75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8:19" ht="12.75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8:19" ht="12.75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8:19" ht="12.75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8:19" ht="12.75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8:19" ht="12.75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8:19" ht="12.75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8:19" ht="12.75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8:19" ht="12.75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8:19" ht="12.75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8:19" ht="12.75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8:19" ht="12.75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8:19" ht="12.75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8:19" ht="12.75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8:19" ht="12.75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8:19" ht="12.75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8:19" ht="12.75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8:19" ht="12.75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8:19" ht="12.75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8:19" ht="12.75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8:19" ht="12.75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8:19" ht="12.75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8:19" ht="12.75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8:19" ht="12.75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8:19" ht="12.75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8:19" ht="12.75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8:19" ht="12.75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8:19" ht="12.75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8:19" ht="12.75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8:19" ht="12.75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8:19" ht="12.75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8:19" ht="12.75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8:19" ht="12.75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8:19" ht="12.75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8:19" ht="12.75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8:19" ht="12.75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8:19" ht="12.75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8:19" ht="12.75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8:19" ht="12.75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8:19" ht="12.75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8:19" ht="12.75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8:19" ht="12.75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8:19" ht="12.75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8:19" ht="12.75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8:19" ht="12.75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8:19" ht="12.75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8:19" ht="12.75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8:19" ht="12.75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8:19" ht="12.75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8:19" ht="12.75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8:19" ht="12.75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8:19" ht="12.75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8:19" ht="12.75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8:19" ht="12.75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8:19" ht="12.75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8:19" ht="12.75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8:19" ht="12.75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8:19" ht="12.75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8:19" ht="12.75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8:19" ht="12.75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8:19" ht="12.75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8:19" ht="12.75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8:19" ht="12.75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8:19" ht="12.75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8:19" ht="12.75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8:19" ht="12.75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8:19" ht="12.75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8:19" ht="12.75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8:19" ht="12.75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8:19" ht="12.75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8:19" ht="12.75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8:19" ht="12.75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8:19" ht="12.75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8:19" ht="12.75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8:19" ht="12.75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8:19" ht="12.75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8:19" ht="12.75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8:19" ht="12.75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8:19" ht="12.75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8:19" ht="12.75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8:19" ht="12.75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8:19" ht="12.75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8:19" ht="12.75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8:19" ht="12.75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8:19" ht="12.75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8:19" ht="12.75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8:19" ht="12.75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8:19" ht="12.75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8:19" ht="12.75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8:19" ht="12.75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8:19" ht="12.75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8:19" ht="12.75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8:19" ht="12.75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8:19" ht="12.75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8:19" ht="12.75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8:19" ht="12.75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8:19" ht="12.75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8:19" ht="12.75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8:19" ht="12.75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8:19" ht="12.75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8:19" ht="12.75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8:19" ht="12.75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8:19" ht="12.75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8:19" ht="12.75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8:19" ht="12.75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8:19" ht="12.75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8:19" ht="12.75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8:19" ht="12.75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8:19" ht="12.75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8:19" ht="12.75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8:19" ht="12.75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8:19" ht="12.75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8:19" ht="12.75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8:19" ht="12.75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8:19" ht="12.75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8:19" ht="12.75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8:19" ht="12.75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8:19" ht="12.75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8:19" ht="12.75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8:19" ht="12.75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8:19" ht="12.75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8:19" ht="12.75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8:19" ht="12.75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8:19" ht="12.75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8:19" ht="12.75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8:19" ht="12.75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8:19" ht="12.75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8:19" ht="12.75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8:19" ht="12.75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8:19" ht="12.75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8:19" ht="12.75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8:19" ht="12.75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8:19" ht="12.75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8:19" ht="12.75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8:19" ht="12.75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8:19" ht="12.75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8:19" ht="12.75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8:19" ht="12.75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8:19" ht="12.75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8:19" ht="12.75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8:19" ht="12.75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8:19" ht="12.75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8:19" ht="12.75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8:19" ht="12.75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8:19" ht="12.75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8:19" ht="12.75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8:19" ht="12.75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8:19" ht="12.75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8:19" ht="12.75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8:19" ht="12.75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8:19" ht="12.75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8:19" ht="12.75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8:19" ht="12.75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8:19" ht="12.75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8:19" ht="12.75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8:19" ht="12.75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8:19" ht="12.75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8:19" ht="12.75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8:19" ht="12.75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8:19" ht="12.75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8:19" ht="12.75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8:19" ht="12.75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8:19" ht="12.75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8:19" ht="12.75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8:19" ht="12.75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8:19" ht="12.75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8:19" ht="12.75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8:19" ht="12.75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8:19" ht="12.75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8:19" ht="12.75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8:19" ht="12.75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8:19" ht="12.75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8:19" ht="12.75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8:19" ht="12.75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8:19" ht="12.75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8:19" ht="12.75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8:19" ht="12.75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8:19" ht="12.75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8:19" ht="12.75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8:19" ht="12.75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8:19" ht="12.75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8:19" ht="12.75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8:19" ht="12.75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8:19" ht="12.75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8:19" ht="12.75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8:19" ht="12.75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8:19" ht="12.75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8:19" ht="12.75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8:19" ht="12.75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8:19" ht="12.75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8:19" ht="12.75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8:19" ht="12.75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8:19" ht="12.75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8:19" ht="12.75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8:19" ht="12.75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8:19" ht="12.75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8:19" ht="12.75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8:19" ht="12.75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8:19" ht="12.75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8:19" ht="12.75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8:19" ht="12.75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8:19" ht="12.75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8:19" ht="12.75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8:19" ht="12.75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8:19" ht="12.75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8:19" ht="12.75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8:19" ht="12.75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8:19" ht="12.75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8:19" ht="12.75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8:19" ht="12.75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8:19" ht="12.75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8:19" ht="12.75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8:19" ht="12.75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8:19" ht="12.75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8:19" ht="12.75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8:19" ht="12.75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8:19" ht="12.75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8:19" ht="12.75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8:19" ht="12.75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8:19" ht="12.75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8:19" ht="12.75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8:19" ht="12.75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8:19" ht="12.75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8:19" ht="12.75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8:19" ht="12.75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8:19" ht="12.75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8:19" ht="12.75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8:19" ht="12.75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8:19" ht="12.75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8:19" ht="12.75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8:19" ht="12.75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8:19" ht="12.75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8:19" ht="12.75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8:19" ht="12.75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8:19" ht="12.75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8:19" ht="12.75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8:19" ht="12.75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8:19" ht="12.75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8:19" ht="12.75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8:19" ht="12.75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8:19" ht="12.75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8:19" ht="12.75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8:19" ht="12.75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8:19" ht="12.75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8:19" ht="12.75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8:19" ht="12.75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8:19" ht="12.75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8:19" ht="12.75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8:19" ht="12.75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8:19" ht="12.75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8:19" ht="12.75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8:19" ht="12.75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8:19" ht="12.75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8:19" ht="12.75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8:19" ht="12.75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8:19" ht="12.75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8:19" ht="12.75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8:19" ht="12.75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8:19" ht="12.75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8:19" ht="12.75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8:19" ht="12.75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8:19" ht="12.75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8:19" ht="12.75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8:19" ht="12.75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8:19" ht="12.75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8:19" ht="12.75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8:19" ht="12.75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8:19" ht="12.75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8:19" ht="12.75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8:19" ht="12.75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8:19" ht="12.75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8:19" ht="12.75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8:19" ht="12.75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8:19" ht="12.75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8:19" ht="12.75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8:19" ht="12.75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8:19" ht="12.75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8:19" ht="12.75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8:19" ht="12.75"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8:19" ht="12.75"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8:19" ht="12.75"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8:19" ht="12.75"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8:19" ht="12.75"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8:19" ht="12.75"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8:19" ht="12.75"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8:19" ht="12.75"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8:19" ht="12.75"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8:19" ht="12.75"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8:19" ht="12.75"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8:19" ht="12.75"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8:19" ht="12.75"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8:19" ht="12.75"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8:19" ht="12.75"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8:19" ht="12.75"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8:19" ht="12.75"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8:19" ht="12.75"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8:19" ht="12.75"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8:19" ht="12.75"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8:19" ht="12.75"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8:19" ht="12.75"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8:19" ht="12.75"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8:19" ht="12.75"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8:19" ht="12.75"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8:19" ht="12.75"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8:19" ht="12.75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8:19" ht="12.75"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8:19" ht="12.75"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8:19" ht="12.75"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8:19" ht="12.75"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8:19" ht="12.75"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8:19" ht="12.75"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8:19" ht="12.75"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8:19" ht="12.75"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8:19" ht="12.75"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8:19" ht="12.75"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8:19" ht="12.75"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8:19" ht="12.75"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8:19" ht="12.75"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8:19" ht="12.75"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8:19" ht="12.75"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8:19" ht="12.75"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8:19" ht="12.75"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8:19" ht="12.75"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8:19" ht="12.75"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8:19" ht="12.75"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8:19" ht="12.75"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8:19" ht="12.75"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8:19" ht="12.75"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8:19" ht="12.75"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8:19" ht="12.75"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8:19" ht="12.75"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8:19" ht="12.75"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8:19" ht="12.75"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8:19" ht="12.75"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8:19" ht="12.75"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8:19" ht="12.75"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8:19" ht="12.75"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8:19" ht="12.75"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8:19" ht="12.75"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8:19" ht="12.75"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8:19" ht="12.75"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8:19" ht="12.75"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8:19" ht="12.75"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8:19" ht="12.75"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8:19" ht="12.75"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8:19" ht="12.75"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8:19" ht="12.75"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8:19" ht="12.75"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8:19" ht="12.75"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8:19" ht="12.75"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8:19" ht="12.75"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8:19" ht="12.75"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8:19" ht="12.75"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8:19" ht="12.75"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8:19" ht="12.75"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8:19" ht="12.75"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8:19" ht="12.75"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8:19" ht="12.75"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8:19" ht="12.75"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8:19" ht="12.75"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8:19" ht="12.75"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8:19" ht="12.75"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8:19" ht="12.75"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8:19" ht="12.75"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8:19" ht="12.75"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8:19" ht="12.75"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8:19" ht="12.75"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8:19" ht="12.75"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8:19" ht="12.75"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8:19" ht="12.75"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8:19" ht="12.75"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8:19" ht="12.75"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8:19" ht="12.75"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8:19" ht="12.75"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8:19" ht="12.75"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8:19" ht="12.75"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8:19" ht="12.75"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8:19" ht="12.75"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8:19" ht="12.75"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8:19" ht="12.75"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8:19" ht="12.75"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8:19" ht="12.75"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8:19" ht="12.75"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8:19" ht="12.75"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8:19" ht="12.75"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8:19" ht="12.75"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8:19" ht="12.75"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8:19" ht="12.75"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8:19" ht="12.75"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8:19" ht="12.75"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8:19" ht="12.75"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8:19" ht="12.75"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8:19" ht="12.75"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8:19" ht="12.75"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8:19" ht="12.75"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8:19" ht="12.75"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8:19" ht="12.75"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8:19" ht="12.75"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8:19" ht="12.75"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8:19" ht="12.75"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8:19" ht="12.75"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8:19" ht="12.75"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8:19" ht="12.75"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8:19" ht="12.75"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8:19" ht="12.75"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8:19" ht="12.75"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8:19" ht="12.75"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8:19" ht="12.75"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8:19" ht="12.75"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8:19" ht="12.75"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8:19" ht="12.75"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8:19" ht="12.75"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8:19" ht="12.75"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8:19" ht="12.75"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8:19" ht="12.75"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8:19" ht="12.75"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8:19" ht="12.75"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8:19" ht="12.75"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8:19" ht="12.75"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8:19" ht="12.75"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8:19" ht="12.75"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8:19" ht="12.75"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8:19" ht="12.75"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8:19" ht="12.75"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8:19" ht="12.75"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8:19" ht="12.75"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8:19" ht="12.75"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8:19" ht="12.75"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8:19" ht="12.75"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8:19" ht="12.75"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8:19" ht="12.75"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8:19" ht="12.75"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8:19" ht="12.75"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8:19" ht="12.75"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8:19" ht="12.75"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8:19" ht="12.75"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8:19" ht="12.75"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8:19" ht="12.75"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8:19" ht="12.75"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8:19" ht="12.75"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8:19" ht="12.75"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8:19" ht="12.75"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8:19" ht="12.75"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8:19" ht="12.75"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8:19" ht="12.75"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8:19" ht="12.75"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8:19" ht="12.75"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8:19" ht="12.75"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8:19" ht="12.75"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8:19" ht="12.75"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8:19" ht="12.75"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8:19" ht="12.75"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8:19" ht="12.75"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8:19" ht="12.75"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8:19" ht="12.75"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8:19" ht="12.75"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8:19" ht="12.75"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8:19" ht="12.75"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8:19" ht="12.75"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8:19" ht="12.75"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8:19" ht="12.75"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8:19" ht="12.75"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8:19" ht="12.75"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8:19" ht="12.75"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8:19" ht="12.75"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8:19" ht="12.75"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8:19" ht="12.75"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8:19" ht="12.75"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8:19" ht="12.75"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8:19" ht="12.75"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8:19" ht="12.75"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8:19" ht="12.75"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8:19" ht="12.75"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8:19" ht="12.75"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8:19" ht="12.75"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8:19" ht="12.75"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8:19" ht="12.75"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8:19" ht="12.75"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8:19" ht="12.75"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8:19" ht="12.75"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8:19" ht="12.75"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8:19" ht="12.75"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8:19" ht="12.75"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8:19" ht="12.75"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8:19" ht="12.75"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8:19" ht="12.75"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8:19" ht="12.75"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8:19" ht="12.75"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8:19" ht="12.75"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8:19" ht="12.75"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8:19" ht="12.75"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8:19" ht="12.75"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8:19" ht="12.75"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8:19" ht="12.75"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8:19" ht="12.75"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8:19" ht="12.75"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8:19" ht="12.75"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8:19" ht="12.75"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8:19" ht="12.75"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8:19" ht="12.75"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8:19" ht="12.75"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8:19" ht="12.75"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8:19" ht="12.75"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8:19" ht="12.75"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8:19" ht="12.75"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8:19" ht="12.75"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8:19" ht="12.75"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8:19" ht="12.75"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8:19" ht="12.75"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8:19" ht="12.75"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8:19" ht="12.75"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8:19" ht="12.75"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8:19" ht="12.75"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8:19" ht="12.75"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8:19" ht="12.75"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8:19" ht="12.75"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8:19" ht="12.75"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8:19" ht="12.75"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8:19" ht="12.75"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8:19" ht="12.75"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8:19" ht="12.75"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8:19" ht="12.75"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8:19" ht="12.75"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8:19" ht="12.75"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8:19" ht="12.75"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8:19" ht="12.75"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8:19" ht="12.75"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8:19" ht="12.75"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8:19" ht="12.75"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8:19" ht="12.75"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8:19" ht="12.75"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8:19" ht="12.75"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8:19" ht="12.75"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8:19" ht="12.75"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8:19" ht="12.75"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8:19" ht="12.75"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8:19" ht="12.75"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8:19" ht="12.75"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8:19" ht="12.75"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8:19" ht="12.75"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8:19" ht="12.75"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8:19" ht="12.75"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8:19" ht="12.75"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8:19" ht="12.75"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8:19" ht="12.75"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8:19" ht="12.75"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8:19" ht="12.75"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8:19" ht="12.75"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8:19" ht="12.75"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8:19" ht="12.75"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8:19" ht="12.75"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8:19" ht="12.75"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8:19" ht="12.75"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8:19" ht="12.75"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8:19" ht="12.75"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8:19" ht="12.75"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8:19" ht="12.75"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8:19" ht="12.75"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8:19" ht="12.75"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8:19" ht="12.75"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8:19" ht="12.75"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8:19" ht="12.75"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8:19" ht="12.75"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8:19" ht="12.75"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8:19" ht="12.75"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8:19" ht="12.75"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8:19" ht="12.75"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8:19" ht="12.75"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8:19" ht="12.75"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8:19" ht="12.75"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8:19" ht="12.75"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8:19" ht="12.75"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8:19" ht="12.75"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8:19" ht="12.75"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8:19" ht="12.75"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8:19" ht="12.75"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8:19" ht="12.75"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8:19" ht="12.75"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8:19" ht="12.75"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8:19" ht="12.75"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8:19" ht="12.75"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8:19" ht="12.75"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8:19" ht="12.75"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8:19" ht="12.75"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8:19" ht="12.75"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8:19" ht="12.75"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8:19" ht="12.75"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8:19" ht="12.75"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8:19" ht="12.75"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8:19" ht="12.75"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8:19" ht="12.75"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8:19" ht="12.75"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8:19" ht="12.75"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8:19" ht="12.75"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8:19" ht="12.75"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8:19" ht="12.75"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8:19" ht="12.75"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8:19" ht="12.75"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8:19" ht="12.75"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8:19" ht="12.75"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8:19" ht="12.75"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8:19" ht="12.75"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8:19" ht="12.75"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8:19" ht="12.75"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8:19" ht="12.75"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8:19" ht="12.75"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8:19" ht="12.75"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8:19" ht="12.75"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8:19" ht="12.75"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8:19" ht="12.75"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8:19" ht="12.75"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8:19" ht="12.75"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8:19" ht="12.75"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8:19" ht="12.75"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8:19" ht="12.75"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8:19" ht="12.75"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8:19" ht="12.75"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8:19" ht="12.75"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8:19" ht="12.75"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8:19" ht="12.75"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8:19" ht="12.75"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8:19" ht="12.75"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8:19" ht="12.75"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8:19" ht="12.75"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8:19" ht="12.75"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8:19" ht="12.75"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8:19" ht="12.75"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8:19" ht="12.75"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8:19" ht="12.75"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8:19" ht="12.75"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8:19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8:19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8:19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8:19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8:19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8:19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8:19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8:19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8:19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8:19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8:19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8:19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8:19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8:19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8:19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8:19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8:19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8:19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8:19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8:19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8:19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8:19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8:19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8:19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8:19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8:19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8:19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8:19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8:19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8:19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8:19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8:19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8:19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8:19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8:19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8:19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8:19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8:19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8:19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8:19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8:19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8:19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8:19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8:19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8:19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8:19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8:19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8:19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8:19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8:19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8:19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8:19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8:19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8:19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8:19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8:19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8:19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8:19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8:19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8:19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8:19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8:19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8:19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8:19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8:19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8:19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8:19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8:19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8:19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8:19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8:19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8:19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8:19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8:19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8:19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8:19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8:19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8:19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8:19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8:19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8:19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8:19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8:19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8:19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8:19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8:19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8:19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8:19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8:19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8:19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8:19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8:19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8:19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8:19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8:19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8:19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8:19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8:19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8:19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8:19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8:19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8:19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8:19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8:19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8:19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8:19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8:19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8:19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8:19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8:19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8:19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8:19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8:19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8:19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8:19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8:19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8:19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8:19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8:19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8:19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8:19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8:19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8:19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8:19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8:19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8:19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8:19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8:19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8:19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8:19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8:19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8:19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8:19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8:19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8:19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8:19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8:19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8:19" ht="12.75"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8:19" ht="12.75"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8:19" ht="12.75"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8:19" ht="12.75"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8:19" ht="12.75"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8:19" ht="12.75"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8:19" ht="12.75"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8:19" ht="12.75"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8:19" ht="12.75"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8:19" ht="12.75"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8:19" ht="12.75"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8:19" ht="12.75"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8:19" ht="12.75"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8:19" ht="12.75"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8:19" ht="12.75"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8:19" ht="12.75"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8:19" ht="12.75"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8:19" ht="12.75"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8:19" ht="12.75"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8:19" ht="12.75"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8:19" ht="12.75"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8:19" ht="12.75"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8:19" ht="12.75"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8:19" ht="12.75"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8:19" ht="12.75"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8:19" ht="12.75"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8:19" ht="12.75"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8:19" ht="12.75"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8:19" ht="12.75"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8:19" ht="12.75"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8:19" ht="12.75"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8:19" ht="12.75"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8:19" ht="12.75"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8:19" ht="12.75"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8:19" ht="12.75"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8:19" ht="12.75"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8:19" ht="12.75"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8:19" ht="12.75"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8:19" ht="12.75"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8:19" ht="12.75"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8:19" ht="12.75"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8:19" ht="12.75"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8:19" ht="12.75"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8:19" ht="12.75"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8:19" ht="12.75"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8:19" ht="12.75"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8:19" ht="12.75"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8:19" ht="12.75"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8:19" ht="12.75"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8:19" ht="12.75"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8:19" ht="12.75"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8:19" ht="12.75"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8:19" ht="12.75"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8:19" ht="12.75"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8:19" ht="12.75"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8:19" ht="12.75"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8:19" ht="12.75"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8:19" ht="12.75"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8:19" ht="12.75"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8:19" ht="12.75"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8:19" ht="12.75"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8:19" ht="12.75"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8:19" ht="12.75"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8:19" ht="12.75"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8:19" ht="12.75"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8:19" ht="12.75"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8:19" ht="12.75"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8:19" ht="12.75"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8:19" ht="12.75"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8:19" ht="12.75"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8:19" ht="12.75"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8:19" ht="12.75"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8:19" ht="12.75"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8:19" ht="12.75"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8:19" ht="12.75"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8:19" ht="12.75"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8:19" ht="12.75"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8:19" ht="12.75"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8:19" ht="12.75"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8:19" ht="12.75"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8:19" ht="12.75"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8:19" ht="12.75"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8:19" ht="12.75"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8:19" ht="12.75"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8:19" ht="12.75"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8:19" ht="12.75"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8:19" ht="12.75"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8:19" ht="12.75"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8:19" ht="12.75"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8:19" ht="12.75"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8:19" ht="12.75"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8:19" ht="12.75"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8:19" ht="12.75"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8:19" ht="12.75"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8:19" ht="12.75"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8:19" ht="12.75"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8:19" ht="12.75"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8:19" ht="12.75"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8:19" ht="12.75"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8:19" ht="12.75"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8:19" ht="12.75"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8:19" ht="12.75"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8:19" ht="12.75"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8:19" ht="12.75"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8:19" ht="12.75"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8:19" ht="12.75"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8:19" ht="12.75"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8:19" ht="12.75"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8:19" ht="12.75"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8:19" ht="12.75"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8:19" ht="12.75"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8:19" ht="12.75"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8:19" ht="12.75"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8:19" ht="12.75"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8:19" ht="12.75"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8:19" ht="12.75"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8:19" ht="12.75"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8:19" ht="12.75"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8:19" ht="12.75"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8:19" ht="12.75"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8:19" ht="12.75"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8:19" ht="12.75"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8:19" ht="12.75"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8:19" ht="12.75"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8:19" ht="12.75"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8:19" ht="12.75"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8:19" ht="12.75"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8:19" ht="12.75"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8:19" ht="12.75"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8:19" ht="12.75"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8:19" ht="12.75"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8:19" ht="12.75"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8:19" ht="12.75"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8:19" ht="12.75"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8:19" ht="12.75"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8:19" ht="12.75"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8:19" ht="12.75"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8:19" ht="12.75"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8:19" ht="12.75"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8:19" ht="12.75"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8:19" ht="12.75"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8:19" ht="12.75"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8:19" ht="12.75"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8:19" ht="12.75"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8:19" ht="12.75"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8:19" ht="12.75"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8:19" ht="12.75"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8:19" ht="12.75"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8:19" ht="12.75"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8:19" ht="12.75"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8:19" ht="12.75"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8:19" ht="12.75"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8:19" ht="12.75"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8:19" ht="12.75"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8:19" ht="12.75"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8:19" ht="12.75"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8:19" ht="12.75"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8:19" ht="12.75"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8:19" ht="12.75"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8:19" ht="12.75"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8:19" ht="12.75"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8:19" ht="12.75"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8:19" ht="12.75"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8:19" ht="12.75"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8:19" ht="12.75"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8:19" ht="12.75"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8:19" ht="12.75"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8:19" ht="12.75"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8:19" ht="12.75"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8:19" ht="12.75"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8:19" ht="12.75"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8:19" ht="12.75"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8:19" ht="12.75"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8:19" ht="12.75"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8:19" ht="12.75"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8:19" ht="12.75"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8:19" ht="12.75"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8:19" ht="12.75"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8:19" ht="12.75"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8:19" ht="12.75"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8:19" ht="12.75"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8:19" ht="12.75"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8:19" ht="12.75"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8:19" ht="12.75"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8:19" ht="12.75"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8:19" ht="12.75"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8:19" ht="12.75"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8:19" ht="12.75"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8:19" ht="12.75"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8:19" ht="12.75"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8:19" ht="12.75"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8:19" ht="12.75"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8:19" ht="12.75"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8:19" ht="12.75"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8:19" ht="12.75"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8:19" ht="12.75"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8:19" ht="12.75"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8:19" ht="12.75"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8:19" ht="12.75"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8:19" ht="12.75"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8:19" ht="12.75"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8:19" ht="12.75"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8:19" ht="12.75"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8:19" ht="12.75"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8:19" ht="12.75"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8:19" ht="12.75"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8:19" ht="12.75"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8:19" ht="12.75"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8:19" ht="12.75"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8:19" ht="12.75"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8:19" ht="12.75"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8:19" ht="12.75"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8:19" ht="12.75"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8:19" ht="12.75"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8:19" ht="12.75"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8:19" ht="12.75"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8:19" ht="12.75"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8:19" ht="12.75"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8:19" ht="12.75"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8:19" ht="12.75"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8:19" ht="12.75"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8:19" ht="12.75"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8:19" ht="12.75"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8:19" ht="12.75"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8:19" ht="12.75"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8:19" ht="12.75"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8:19" ht="12.75"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8:19" ht="12.75"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8:19" ht="12.75"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8:19" ht="12.75"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8:19" ht="12.75"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8:19" ht="12.75"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8:19" ht="12.75"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8:19" ht="12.75"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8:19" ht="12.75"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8:19" ht="12.75"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8:19" ht="12.75"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8:19" ht="12.75"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8:19" ht="12.75"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8:19" ht="12.75"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8:19" ht="12.75"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8:19" ht="12.75"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8:19" ht="12.75"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8:19" ht="12.75"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8:19" ht="12.75"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8:19" ht="12.75"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8:19" ht="12.75"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8:19" ht="12.75"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8:19" ht="12.75"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8:19" ht="12.75"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8:19" ht="12.75"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8:19" ht="12.75"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8:19" ht="12.75"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8:19" ht="12.75"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8:19" ht="12.75"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8:19" ht="12.75"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8:19" ht="12.75"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8:19" ht="12.75"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8:19" ht="12.75"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8:19" ht="12.75"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8:19" ht="12.75"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8:19" ht="12.75"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8:19" ht="12.75"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8:19" ht="12.75"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8:19" ht="12.75"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8:19" ht="12.75"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8:19" ht="12.75"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8:19" ht="12.75"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8:19" ht="12.75"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8:19" ht="12.75"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8:19" ht="12.75"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8:19" ht="12.75"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8:19" ht="12.75"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8:19" ht="12.75"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8:19" ht="12.75"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8:19" ht="12.75"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8:19" ht="12.75"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8:19" ht="12.75"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8:19" ht="12.75"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8:19" ht="12.75"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8:19" ht="12.75"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8:19" ht="12.75"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8:19" ht="12.75"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8:19" ht="12.75"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8:19" ht="12.75"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8:19" ht="12.75"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8:19" ht="12.75"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8:19" ht="12.75"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8:19" ht="12.75"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8:19" ht="12.75"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8:19" ht="12.75"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8:19" ht="12.75"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8:19" ht="12.75"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8:19" ht="12.75"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8:19" ht="12.75"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8:19" ht="12.75"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8:19" ht="12.75"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8:19" ht="12.75"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8:19" ht="12.75"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8:19" ht="12.75"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8:19" ht="12.75"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8:19" ht="12.75"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8:19" ht="12.75"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8:19" ht="12.75"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8:19" ht="12.75"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8:19" ht="12.75"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8:19" ht="12.75"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8:19" ht="12.75"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8:19" ht="12.75"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8:19" ht="12.75"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8:19" ht="12.75"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8:19" ht="12.75"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8:19" ht="12.75"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8:19" ht="12.75"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8:19" ht="12.75"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8:19" ht="12.75"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8:19" ht="12.75"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8:19" ht="12.75"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8:19" ht="12.75"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8:19" ht="12.75"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8:19" ht="12.75"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8:19" ht="12.75"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8:19" ht="12.75"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8:19" ht="12.75"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8:19" ht="12.75"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8:19" ht="12.75"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8:19" ht="12.75"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8:19" ht="12.75"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8:19" ht="12.75"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8:19" ht="12.75"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8:19" ht="12.75"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8:19" ht="12.75"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8:19" ht="12.75"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8:19" ht="12.75"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8:19" ht="12.75"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8:19" ht="12.75"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8:19" ht="12.75"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8:19" ht="12.75"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8:19" ht="12.75"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8:19" ht="12.75"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8:19" ht="12.75"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8:19" ht="12.75"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8:19" ht="12.75"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8:19" ht="12.75"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8:19" ht="12.75"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8:19" ht="12.75"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8:19" ht="12.75"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8:19" ht="12.75"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8:19" ht="12.75"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8:19" ht="12.75"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8:19" ht="12.75"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8:19" ht="12.75"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8:19" ht="12.75"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8:19" ht="12.75"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8:19" ht="12.75"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8:19" ht="12.75"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8:19" ht="12.75"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8:19" ht="12.75"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8:19" ht="12.75"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8:19" ht="12.75"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8:19" ht="12.75"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8:19" ht="12.75"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8:19" ht="12.75"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8:19" ht="12.75"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8:19" ht="12.75"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8:19" ht="12.75"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8:19" ht="12.75"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8:19" ht="12.75"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8:19" ht="12.75"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8:19" ht="12.75"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8:19" ht="12.75"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8:19" ht="12.75"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8:19" ht="12.75"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8:19" ht="12.75"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8:19" ht="12.75"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8:19" ht="12.75"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8:19" ht="12.75"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8:19" ht="12.75"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8:19" ht="12.75"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8:19" ht="12.75"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8:19" ht="12.75"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8:19" ht="12.75"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8:19" ht="12.75"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8:19" ht="12.75"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8:19" ht="12.75"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8:19" ht="12.75"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8:19" ht="12.75"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8:19" ht="12.75"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8:19" ht="12.75"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8:19" ht="12.75"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8:19" ht="12.75"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8:19" ht="12.75"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8:19" ht="12.75"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8:19" ht="12.75"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8:19" ht="12.75"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8:19" ht="12.75"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8:19" ht="12.75"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8:19" ht="12.75"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8:19" ht="12.75"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8:19" ht="12.75"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8:19" ht="12.75"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8:19" ht="12.75"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8:19" ht="12.75"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8:19" ht="12.75"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8:19" ht="12.75"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8:19" ht="12.75"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8:19" ht="12.75"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8:19" ht="12.75"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8:19" ht="12.75"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8:19" ht="12.75"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8:19" ht="12.75"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8:19" ht="12.75"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8:19" ht="12.75"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8:19" ht="12.75"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8:19" ht="12.75"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8:19" ht="12.75"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8:19" ht="12.75"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8:19" ht="12.75"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8:19" ht="12.75"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8:19" ht="12.75"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8:19" ht="12.75"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8:19" ht="12.75"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8:19" ht="12.75"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8:19" ht="12.75"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8:19" ht="12.75"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8:19" ht="12.75"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8:19" ht="12.75"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8:19" ht="12.75"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8:19" ht="12.75"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8:19" ht="12.75"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8:19" ht="12.75"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8:19" ht="12.75"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8:19" ht="12.75"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8:19" ht="12.75"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8:19" ht="12.75"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8:19" ht="12.75"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8:19" ht="12.75"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8:19" ht="12.75"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8:19" ht="12.75"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8:19" ht="12.75"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8:19" ht="12.75"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8:19" ht="12.75"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8:19" ht="12.75"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8:19" ht="12.75"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8:19" ht="12.75"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8:19" ht="12.75"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8:19" ht="12.75"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8:19" ht="12.75"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8:19" ht="12.75"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8:19" ht="12.75"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8:19" ht="12.75"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8:19" ht="12.75"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8:19" ht="12.75"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8:19" ht="12.75"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8:19" ht="12.75"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8:19" ht="12.75"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8:19" ht="12.75"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8:19" ht="12.75"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8:19" ht="12.75"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8:19" ht="12.75"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8:19" ht="12.75"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8:19" ht="12.75"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8:19" ht="12.75"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8:19" ht="12.75"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8:19" ht="12.75"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8:19" ht="12.75"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8:19" ht="12.75"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8:19" ht="12.75"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8:19" ht="12.75"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8:19" ht="12.75"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8:19" ht="12.75"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8:19" ht="12.75"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8:19" ht="12.75"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8:19" ht="12.75"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8:19" ht="12.75"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8:19" ht="12.75"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8:19" ht="12.75"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8:19" ht="12.75"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8:19" ht="12.75"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8:19" ht="12.75"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8:19" ht="12.75"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8:19" ht="12.75"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8:19" ht="12.75"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8:19" ht="12.75"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8:19" ht="12.75"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8:19" ht="12.75"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8:19" ht="12.75"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8:19" ht="12.75"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8:19" ht="12.75"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8:19" ht="12.75"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8:19" ht="12.75"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8:19" ht="12.75"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8:19" ht="12.75"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8:19" ht="12.75"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8:19" ht="12.75"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8:19" ht="12.75"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8:19" ht="12.75"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8:19" ht="12.75"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8:19" ht="12.75"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8:19" ht="12.75"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8:19" ht="12.75"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8:19" ht="12.75"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8:19" ht="12.75"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8:19" ht="12.75"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8:19" ht="12.75"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8:19" ht="12.75"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8:19" ht="12.75"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8:19" ht="12.75"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8:19" ht="12.75"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8:19" ht="12.75"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8:19" ht="12.75"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8:19" ht="12.75"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8:19" ht="12.75"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8:19" ht="12.75"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8:19" ht="12.75"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8:19" ht="12.75"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8:19" ht="12.75"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8:19" ht="12.75"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8:19" ht="12.75"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8:19" ht="12.75"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8:19" ht="12.75"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8:19" ht="12.75"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8:19" ht="12.75"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8:19" ht="12.75"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8:19" ht="12.75"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8:19" ht="12.75"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8:19" ht="12.75"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8:19" ht="12.75"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8:19" ht="12.75"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8:19" ht="12.75"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8:19" ht="12.75"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8:19" ht="12.75"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8:19" ht="12.75"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8:19" ht="12.75"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8:19" ht="12.75"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8:19" ht="12.75"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8:19" ht="12.75"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8:19" ht="12.75"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8:19" ht="12.75"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8:19" ht="12.75"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8:19" ht="12.75"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8:19" ht="12.75"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8:19" ht="12.75"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8:19" ht="12.75"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8:19" ht="12.75"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8:19" ht="12.75"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8:19" ht="12.75"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8:19" ht="12.75"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8:19" ht="12.75"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8:19" ht="12.75"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8:19" ht="12.75"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8:19" ht="12.75"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8:19" ht="12.75"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8:19" ht="12.75"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8:19" ht="12.75"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8:19" ht="12.75"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8:19" ht="12.75"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8:19" ht="12.75"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8:19" ht="12.75"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8:19" ht="12.75"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8:19" ht="12.75"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8:19" ht="12.75"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8:19" ht="12.75"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8:19" ht="12.75"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8:19" ht="12.75"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8:19" ht="12.75"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8:19" ht="12.75"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8:19" ht="12.75"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8:19" ht="12.75"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8:19" ht="12.75"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8:19" ht="12.75"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8:19" ht="12.75"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8:19" ht="12.75"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8:19" ht="12.75"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8:19" ht="12.75"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8:19" ht="12.75"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8:19" ht="12.75"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8:19" ht="12.75"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8:19" ht="12.75"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8:19" ht="12.75"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8:19" ht="12.75"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8:19" ht="12.75"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8:19" ht="12.75"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8:19" ht="12.75"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8:19" ht="12.75"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8:19" ht="12.75"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8:19" ht="12.75"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8:19" ht="12.75"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8:19" ht="12.75"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8:19" ht="12.75"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8:19" ht="12.75"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8:19" ht="12.75"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8:19" ht="12.75"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8:19" ht="12.75"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8:19" ht="12.75"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8:19" ht="12.75"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8:19" ht="12.75"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8:19" ht="12.75"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8:19" ht="12.75"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8:19" ht="12.75"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8:19" ht="12.75"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8:19" ht="12.75"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8:19" ht="12.75"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8:19" ht="12.75"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8:19" ht="12.75"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8:19" ht="12.75"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8:19" ht="12.75"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8:19" ht="12.75"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8:19" ht="12.75"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8:19" ht="12.75"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8:19" ht="12.75"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8:19" ht="12.75"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8:19" ht="12.75"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8:19" ht="12.75"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8:19" ht="12.75"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8:19" ht="12.75"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8:19" ht="12.75"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8:19" ht="12.75"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8:19" ht="12.75"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8:19" ht="12.75"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8:19" ht="12.75"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8:19" ht="12.75"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8:19" ht="12.75"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8:19" ht="12.75"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8:19" ht="12.75"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8:19" ht="12.75"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8:19" ht="12.75"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8:19" ht="12.75"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8:19" ht="12.75"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8:19" ht="12.75"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8:19" ht="12.75"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8:19" ht="12.75"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8:19" ht="12.75"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8:19" ht="12.75"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8:19" ht="12.75"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8:19" ht="12.75"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8:19" ht="12.75"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8:19" ht="12.75"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8:19" ht="12.75"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8:19" ht="12.75"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8:19" ht="12.75"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8:19" ht="12.75"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8:19" ht="12.75"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8:19" ht="12.75"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8:19" ht="12.75"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8:19" ht="12.75"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8:19" ht="12.75"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8:19" ht="12.75"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8:19" ht="12.75"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8:19" ht="12.75"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8:19" ht="12.75"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8:19" ht="12.75"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8:19" ht="12.75"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8:19" ht="12.75"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8:19" ht="12.75"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8:19" ht="12.75"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8:19" ht="12.75"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8:19" ht="12.75"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8:19" ht="12.75"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8:19" ht="12.75"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8:19" ht="12.75"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8:19" ht="12.75"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8:19" ht="12.75"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8:19" ht="12.75"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8:19" ht="12.75"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8:19" ht="12.75"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8:19" ht="12.75"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8:19" ht="12.75"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8:19" ht="12.75"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8:19" ht="12.75"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8:19" ht="12.75"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8:19" ht="12.75"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8:19" ht="12.75"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8:19" ht="12.75"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8:19" ht="12.75"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8:19" ht="12.75"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8:19" ht="12.75"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8:19" ht="12.75"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8:19" ht="12.75"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8:19" ht="12.75"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8:19" ht="12.75"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8:19" ht="12.75"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8:19" ht="12.75"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8:19" ht="12.75"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8:19" ht="12.75"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8:19" ht="12.75"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8:19" ht="12.75"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8:19" ht="12.75"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8:19" ht="12.75"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8:19" ht="12.75"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8:19" ht="12.75"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8:19" ht="12.75"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8:19" ht="12.75"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8:19" ht="12.75"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8:19" ht="12.75"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8:19" ht="12.75"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8:19" ht="12.75"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8:19" ht="12.75"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8:19" ht="12.75"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8:19" ht="12.75"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8:19" ht="12.75"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8:19" ht="12.75"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8:19" ht="12.75"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8:19" ht="12.75"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8:19" ht="12.75"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8:19" ht="12.75"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8:19" ht="12.75"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8:19" ht="12.75"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8:19" ht="12.75"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8:19" ht="12.75"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8:19" ht="12.75"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8:19" ht="12.75"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8:19" ht="12.75"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8:19" ht="12.75"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8:19" ht="12.75"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8:19" ht="12.75"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8:19" ht="12.75"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8:19" ht="12.75"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8:19" ht="12.75"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8:19" ht="12.75"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8:19" ht="12.75"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8:19" ht="12.75"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8:19" ht="12.75"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8:19" ht="12.75"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8:19" ht="12.75"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8:19" ht="12.75"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8:19" ht="12.75"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8:19" ht="12.75"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8:19" ht="12.75"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8:19" ht="12.75"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8:19" ht="12.75"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8:19" ht="12.75"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8:19" ht="12.75"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8:19" ht="12.75"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8:19" ht="12.75"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8:19" ht="12.75"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8:19" ht="12.75"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8:19" ht="12.75"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8:19" ht="12.75"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8:19" ht="12.75"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8:19" ht="12.75"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8:19" ht="12.75"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8:19" ht="12.75"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8:19" ht="12.75"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8:19" ht="12.75"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8:19" ht="12.75"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8:19" ht="12.75"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8:19" ht="12.75"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8:19" ht="12.75"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8:19" ht="12.75"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8:19" ht="12.75"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8:19" ht="12.75"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8:19" ht="12.75"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8:19" ht="12.75"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8:19" ht="12.75"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8:19" ht="12.75"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8:19" ht="12.75"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8:19" ht="12.75"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8:19" ht="12.75"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8:19" ht="12.75"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8:19" ht="12.75"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8:19" ht="12.75"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8:19" ht="12.75"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8:19" ht="12.75"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8:19" ht="12.75"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8:19" ht="12.75"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8:19" ht="12.75"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8:19" ht="12.75"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8:19" ht="12.75"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8:19" ht="12.75"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8:19" ht="12.75"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8:19" ht="12.75"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8:19" ht="12.75"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8:19" ht="12.75"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8:19" ht="12.75"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8:19" ht="12.75"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8:19" ht="12.75"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8:19" ht="12.75"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8:19" ht="12.75"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8:19" ht="12.75"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8:19" ht="12.75"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8:19" ht="12.75"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8:19" ht="12.75"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8:19" ht="12.75"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8:19" ht="12.75"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8:19" ht="12.75"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8:19" ht="12.75"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8:19" ht="12.75"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8:19" ht="12.75"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8:19" ht="12.75"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8:19" ht="12.75"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8:19" ht="12.75"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8:19" ht="12.75"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8:19" ht="12.75"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8:19" ht="12.75"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8:19" ht="12.75"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8:19" ht="12.75"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8:19" ht="12.75"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8:19" ht="12.75"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8:19" ht="12.75"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8:19" ht="12.75"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8:19" ht="12.75"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8:19" ht="12.75"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8:19" ht="12.75"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8:19" ht="12.75"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8:19" ht="12.75"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8:19" ht="12.75"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8:19" ht="12.75"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8:19" ht="12.75"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8:19" ht="12.75"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8:19" ht="12.75"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8:19" ht="12.75"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8:19" ht="12.75"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8:19" ht="12.75"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8:19" ht="12.75"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8:19" ht="12.75"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8:19" ht="12.75"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8:19" ht="12.75"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8:19" ht="12.75"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8:19" ht="12.75"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8:19" ht="12.75"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8:19" ht="12.75"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8:19" ht="12.75"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8:19" ht="12.75"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8:19" ht="12.75"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8:19" ht="12.75"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8:19" ht="12.75"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8:19" ht="12.75"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8:19" ht="12.75"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8:19" ht="12.75"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8:19" ht="12.75"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8:19" ht="12.75"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8:19" ht="12.75"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8:19" ht="12.75"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8:19" ht="12.75"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8:19" ht="12.75"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8:19" ht="12.75"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8:19" ht="12.75"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8:19" ht="12.75"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8:19" ht="12.75"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8:19" ht="12.75"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8:19" ht="12.75"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8:19" ht="12.75"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8:19" ht="12.75"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8:19" ht="12.75"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8:19" ht="12.75"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8:19" ht="12.75"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8:19" ht="12.75"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8:19" ht="12.75"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8:19" ht="12.75"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8:19" ht="12.75"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8:19" ht="12.75"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8:19" ht="12.75"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8:19" ht="12.75"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8:19" ht="12.75"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8:19" ht="12.75"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8:19" ht="12.75"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8:19" ht="12.75"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8:19" ht="12.75"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8:19" ht="12.75"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8:19" ht="12.75"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8:19" ht="12.75"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8:19" ht="12.75"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8:19" ht="12.75"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8:19" ht="12.75"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8:19" ht="12.75"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8:19" ht="12.75"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8:19" ht="12.75"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8:19" ht="12.75"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8:19" ht="12.75"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8:19" ht="12.75"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8:19" ht="12.75"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8:19" ht="12.75"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8:19" ht="12.75"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8:19" ht="12.75"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8:19" ht="12.75"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8:19" ht="12.75"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8:19" ht="12.75"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8:19" ht="12.75"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8:19" ht="12.75"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8:19" ht="12.75"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8:19" ht="12.75"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8:19" ht="12.75"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8:19" ht="12.75"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8:19" ht="12.75"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8:19" ht="12.75"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8:19" ht="12.75"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8:19" ht="12.75"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8:19" ht="12.75"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8:19" ht="12.75"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8:19" ht="12.75"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8:19" ht="12.75"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8:19" ht="12.75"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8:19" ht="12.75"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8:19" ht="12.75"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8:19" ht="12.75"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8:19" ht="12.75"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8:19" ht="12.75"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8:19" ht="12.75"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8:19" ht="12.75"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8:19" ht="12.75"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8:19" ht="12.75"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8:19" ht="12.75"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8:19" ht="12.75"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8:19" ht="12.75"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8:19" ht="12.75"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8:19" ht="12.75"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8:19" ht="12.75"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8:19" ht="12.75"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8:19" ht="12.75"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8:19" ht="12.75"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8:19" ht="12.75"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8:19" ht="12.75"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8:19" ht="12.75"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8:19" ht="12.75"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8:19" ht="12.75"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8:19" ht="12.75"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8:19" ht="12.75"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8:19" ht="12.75"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8:19" ht="12.75"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8:19" ht="12.75"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8:19" ht="12.75"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8:19" ht="12.75"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8:19" ht="12.75"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8:19" ht="12.75"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8:19" ht="12.75"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8:19" ht="12.75"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8:19" ht="12.75"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8:19" ht="12.75"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8:19" ht="12.75"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8:19" ht="12.75"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8:19" ht="12.75"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8:19" ht="12.75"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8:19" ht="12.75"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8:19" ht="12.75"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8:19" ht="12.75"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8:19" ht="12.75"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8:19" ht="12.75"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8:19" ht="12.75"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8:19" ht="12.75"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8:19" ht="12.75"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8:19" ht="12.75"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8:19" ht="12.75"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8:19" ht="12.75"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8:19" ht="12.75"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8:19" ht="12.75"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8:19" ht="12.75"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8:19" ht="12.75"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8:19" ht="12.75"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8:19" ht="12.75"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8:19" ht="12.75"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8:19" ht="12.75"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8:19" ht="12.75"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8:19" ht="12.75"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8:19" ht="12.75"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8:19" ht="12.75"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8:19" ht="12.75"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8:19" ht="12.75"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8:19" ht="12.75"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8:19" ht="12.75"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8:19" ht="12.75"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8:19" ht="12.75"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8:19" ht="12.75"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8:19" ht="12.75"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8:19" ht="12.75"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8:19" ht="12.75"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8:19" ht="12.75"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8:19" ht="12.75"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8:19" ht="12.75"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8:19" ht="12.75"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8:19" ht="12.75"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8:19" ht="12.75"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8:19" ht="12.75"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8:19" ht="12.75"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8:19" ht="12.75"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8:19" ht="12.75"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8:19" ht="12.75"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8:19" ht="12.75"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8:19" ht="12.75"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8:19" ht="12.75"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8:19" ht="12.75"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8:19" ht="12.75"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8:19" ht="12.75"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8:19" ht="12.75"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8:19" ht="12.75"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8:19" ht="12.75"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8:19" ht="12.75"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8:19" ht="12.75"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8:19" ht="12.75"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8:19" ht="12.75"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8:19" ht="12.75"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8:19" ht="12.75"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8:19" ht="12.75"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8:19" ht="12.75"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8:19" ht="12.75"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8:19" ht="12.75"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8:19" ht="12.75"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8:19" ht="12.75"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8:19" ht="12.75"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8:19" ht="12.75"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8:19" ht="12.75"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8:19" ht="12.75"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8:19" ht="12.75"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8:19" ht="12.75"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8:19" ht="12.75"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8:19" ht="12.75"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8:19" ht="12.75"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8:19" ht="12.75"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8:19" ht="12.75"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8:19" ht="12.75"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8:19" ht="12.75"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8:19" ht="12.75"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8:19" ht="12.75"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8:19" ht="12.75"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8:19" ht="12.75"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8:19" ht="12.75"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8:19" ht="12.75"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8:19" ht="12.75"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8:19" ht="12.75"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8:19" ht="12.75"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8:19" ht="12.75"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8:19" ht="12.75"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8:19" ht="12.75"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8:19" ht="12.75"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8:19" ht="12.75"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8:19" ht="12.75"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8:19" ht="12.75"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8:19" ht="12.75"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8:19" ht="12.75"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8:19" ht="12.75"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8:19" ht="12.75"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8:19" ht="12.75"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8:19" ht="12.75"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8:19" ht="12.75"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8:19" ht="12.75"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8:19" ht="12.75"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8:19" ht="12.75"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8:19" ht="12.75"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8:19" ht="12.75"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8:19" ht="12.75"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8:19" ht="12.75"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8:19" ht="12.75"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8:19" ht="12.75"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8:19" ht="12.75"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8:19" ht="12.75"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8:19" ht="12.75"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8:19" ht="12.75"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8:19" ht="12.75"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8:19" ht="12.75"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8:19" ht="12.75"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8:19" ht="12.75"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8:19" ht="12.75"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8:19" ht="12.75"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8:19" ht="12.75"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8:19" ht="12.75"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8:19" ht="12.75"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8:19" ht="12.75"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8:19" ht="12.75"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8:19" ht="12.75"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8:19" ht="12.75"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8:19" ht="12.75"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8:19" ht="12.75"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8:19" ht="12.75"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8:19" ht="12.75"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8:19" ht="12.75"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8:19" ht="12.75"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8:19" ht="12.75"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8:19" ht="12.75"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8:19" ht="12.75"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8:19" ht="12.75"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8:19" ht="12.75"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8:19" ht="12.75"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8:19" ht="12.75"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8:19" ht="12.75"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8:19" ht="12.75"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8:19" ht="12.75"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8:19" ht="12.75"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8:19" ht="12.75"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8:19" ht="12.75"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8:19" ht="12.75"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8:19" ht="12.75"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8:19" ht="12.75"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8:19" ht="12.75"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8:19" ht="12.75"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8:19" ht="12.75"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8:19" ht="12.75"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8:19" ht="12.75"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8:19" ht="12.75"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8:19" ht="12.75"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8:19" ht="12.75"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8:19" ht="12.75"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8:19" ht="12.75"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8:19" ht="12.75"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8:19" ht="12.75"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8:19" ht="12.75"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8:19" ht="12.75"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8:19" ht="12.75"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8:19" ht="12.75"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8:19" ht="12.75"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8:19" ht="12.75"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8:19" ht="12.75"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8:19" ht="12.75"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8:19" ht="12.75"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8:19" ht="12.75"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8:19" ht="12.75"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8:19" ht="12.75"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8:19" ht="12.75"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8:19" ht="12.75"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8:19" ht="12.75"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8:19" ht="12.75"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8:19" ht="12.75"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8:19" ht="12.75"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8:19" ht="12.75"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8:19" ht="12.75"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8:19" ht="12.75"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8:19" ht="12.75"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8:19" ht="12.75"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8:19" ht="12.75"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8:19" ht="12.75"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8:19" ht="12.75"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8:19" ht="12.75"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8:19" ht="12.75"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8:19" ht="12.75"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8:19" ht="12.75"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8:19" ht="12.75"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8:19" ht="12.75"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8:19" ht="12.75"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8:19" ht="12.75"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8:19" ht="12.75"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8:19" ht="12.75"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8:19" ht="12.75"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8:19" ht="12.75"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8:19" ht="12.75"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8:19" ht="12.75"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8:19" ht="12.75"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8:19" ht="12.75"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8:19" ht="12.75"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8:19" ht="12.75"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8:19" ht="12.75"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8:19" ht="12.75"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8:19" ht="12.75"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8:19" ht="12.75"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8:19" ht="12.75"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8:19" ht="12.75"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8:19" ht="12.75"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8:19" ht="12.75"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8:19" ht="12.75"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8:19" ht="12.75"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8:19" ht="12.75"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8:19" ht="12.75"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8:19" ht="12.75"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8:19" ht="12.75"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8:19" ht="12.75"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8:19" ht="12.75"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8:19" ht="12.75"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8:19" ht="12.75"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8:19" ht="12.75"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8:19" ht="12.75"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8:19" ht="12.75"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8:19" ht="12.75"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8:19" ht="12.75"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8:19" ht="12.75"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8:19" ht="12.75"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8:19" ht="12.75"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8:19" ht="12.75"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8:19" ht="12.75"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8:19" ht="12.75"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8:19" ht="12.75"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8:19" ht="12.75"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8:19" ht="12.75"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8:19" ht="12.75"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8:19" ht="12.75"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8:19" ht="12.75"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8:19" ht="12.75"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8:19" ht="12.75"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8:19" ht="12.75"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8:19" ht="12.75"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8:19" ht="12.75"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8:19" ht="12.75"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8:19" ht="12.75"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8:19" ht="12.75"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8:19" ht="12.75"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8:19" ht="12.75"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8:19" ht="12.75"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8:19" ht="12.75"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8:19" ht="12.75"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8:19" ht="12.75"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8:19" ht="12.75"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8:19" ht="12.75"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8:19" ht="12.75"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8:19" ht="12.75"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8:19" ht="12.75"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8:19" ht="12.75"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8:19" ht="12.75"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8:19" ht="12.75"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8:19" ht="12.75"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8:19" ht="12.75"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8:19" ht="12.75"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8:19" ht="12.75"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8:19" ht="12.75"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8:19" ht="12.75"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8:19" ht="12.75"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8:19" ht="12.75"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8:19" ht="12.75"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8:19" ht="12.75"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8:19" ht="12.75"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8:19" ht="12.75"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8:19" ht="12.75"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8:19" ht="12.75"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8:19" ht="12.75"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8:19" ht="12.75"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8:19" ht="12.75"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8:19" ht="12.75"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8:19" ht="12.75"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8:19" ht="12.75"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8:19" ht="12.75"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8:19" ht="12.75"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8:19" ht="12.75"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8:19" ht="12.75"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8:19" ht="12.75"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8:19" ht="12.75"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8:19" ht="12.75"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8:19" ht="12.75"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8:19" ht="12.75"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8:19" ht="12.75"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8:19" ht="12.75"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8:19" ht="12.75"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8:19" ht="12.75"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8:19" ht="12.75"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8:19" ht="12.75"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8:19" ht="12.75"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8:19" ht="12.75"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8:19" ht="12.75"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8:19" ht="12.75"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8:19" ht="12.75"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8:19" ht="12.75"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8:19" ht="12.75"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8:19" ht="12.75"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8:19" ht="12.75"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8:19" ht="12.75"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8:19" ht="12.75"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8:19" ht="12.75"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8:19" ht="12.75"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8:19" ht="12.75"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8:19" ht="12.75"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8:19" ht="12.75"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8:19" ht="12.75"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8:19" ht="12.75"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8:19" ht="12.75"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8:19" ht="12.75"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8:19" ht="12.75"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8:19" ht="12.75"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8:19" ht="12.75"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8:19" ht="12.75"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8:19" ht="12.75"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8:19" ht="12.75"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8:19" ht="12.75"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8:19" ht="12.75"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8:19" ht="12.75"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8:19" ht="12.75"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8:19" ht="12.75"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8:19" ht="12.75"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8:19" ht="12.75"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8:19" ht="12.75"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8:19" ht="12.75"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8:19" ht="12.75"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8:19" ht="12.75"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8:19" ht="12.75"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8:19" ht="12.75"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8:19" ht="12.75"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8:19" ht="12.75"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8:19" ht="12.75"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8:19" ht="12.75"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8:19" ht="12.75"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8:19" ht="12.75"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8:19" ht="12.75"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8:19" ht="12.75"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8:19" ht="12.75"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8:19" ht="12.75"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8:19" ht="12.75"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8:19" ht="12.75"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8:19" ht="12.75"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8:19" ht="12.75"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8:19" ht="12.75"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8:19" ht="12.75"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8:19" ht="12.75"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8:19" ht="12.75"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8:19" ht="12.75"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8:19" ht="12.75"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8:19" ht="12.75"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8:19" ht="12.75"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8:19" ht="12.75"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8:19" ht="12.75"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8:19" ht="12.75"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8:19" ht="12.75"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8:19" ht="12.75"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8:19" ht="12.75"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8:19" ht="12.75"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8:19" ht="12.75"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8:19" ht="12.75"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8:19" ht="12.75"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8:19" ht="12.75"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8:19" ht="12.75"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8:19" ht="12.75"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8:19" ht="12.75"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8:19" ht="12.75"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8:19" ht="12.75"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8:19" ht="12.75"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8:19" ht="12.75"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8:19" ht="12.75"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8:19" ht="12.75"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8:19" ht="12.75"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8:19" ht="12.75"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8:19" ht="12.75"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8:19" ht="12.75"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8:19" ht="12.75"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8:19" ht="12.75"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8:19" ht="12.75"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8:19" ht="12.75"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8:19" ht="12.75"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8:19" ht="12.75"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8:19" ht="12.75"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8:19" ht="12.75"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8:19" ht="12.75"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8:19" ht="12.75"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8:19" ht="12.75"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8:19" ht="12.75"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8:19" ht="12.75"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8:19" ht="12.75"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8:19" ht="12.75"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8:19" ht="12.75"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8:19" ht="12.75"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8:19" ht="12.75"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8:19" ht="12.75"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8:19" ht="12.75"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8:19" ht="12.75"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8:19" ht="12.75"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8:19" ht="12.75"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8:19" ht="12.75"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8:19" ht="12.75"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8:19" ht="12.75"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8:19" ht="12.75"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8:19" ht="12.75"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8:19" ht="12.75"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8:19" ht="12.75"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8:19" ht="12.75"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8:19" ht="12.75"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8:19" ht="12.75"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8:19" ht="12.75"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8:19" ht="12.75"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8:19" ht="12.75"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8:19" ht="12.75"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8:19" ht="12.75"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8:19" ht="12.75"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8:19" ht="12.75"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8:19" ht="12.75"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8:19" ht="12.75"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8:19" ht="12.75"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8:19" ht="12.75"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8:19" ht="12.75"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8:19" ht="12.75"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8:19" ht="12.75"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8:19" ht="12.75"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8:19" ht="12.75"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8:19" ht="12.75"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8:19" ht="12.75"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8:19" ht="12.75"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8:19" ht="12.75"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8:19" ht="12.75"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8:19" ht="12.75"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8:19" ht="12.75"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8:19" ht="12.75"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8:19" ht="12.75"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8:19" ht="12.75"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8:19" ht="12.75"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8:19" ht="12.75"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8:19" ht="12.75"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8:19" ht="12.75"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8:19" ht="12.75"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8:19" ht="12.75"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8:19" ht="12.75"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8:19" ht="12.75"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8:19" ht="12.75"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8:19" ht="12.75"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8:19" ht="12.75"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8:19" ht="12.75"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8:19" ht="12.75"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8:19" ht="12.75"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8:19" ht="12.75"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8:19" ht="12.75"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8:19" ht="12.75"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8:19" ht="12.75"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8:19" ht="12.75"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8:19" ht="12.75"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8:19" ht="12.75"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8:19" ht="12.75"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8:19" ht="12.75"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8:19" ht="12.75"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8:19" ht="12.75"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8:19" ht="12.75"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8:19" ht="12.75"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8:19" ht="12.75"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8:19" ht="12.75"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8:19" ht="12.75"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8:19" ht="12.75"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8:19" ht="12.75"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8:19" ht="12.75"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8:19" ht="12.75"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8:19" ht="12.75"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8:19" ht="12.75"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8:19" ht="12.75"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8:19" ht="12.75"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8:19" ht="12.75"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8:19" ht="12.75"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8:19" ht="12.75"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8:19" ht="12.75"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8:19" ht="12.75"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8:19" ht="12.75"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8:19" ht="12.75"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8:19" ht="12.75"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8:19" ht="12.75"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8:19" ht="12.75"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8:19" ht="12.75"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8:19" ht="12.75"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8:19" ht="12.75"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8:19" ht="12.75"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8:19" ht="12.75"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8:19" ht="12.75"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8:19" ht="12.75"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8:19" ht="12.75"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8:19" ht="12.75"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8:19" ht="12.75"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8:19" ht="12.75"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8:19" ht="12.75"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8:19" ht="12.75"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8:19" ht="12.75"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8:19" ht="12.75"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8:19" ht="12.75"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8:19" ht="12.75"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8:19" ht="12.75"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8:19" ht="12.75"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8:19" ht="12.75"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8:19" ht="12.75"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8:19" ht="12.75"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8:19" ht="12.75"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8:19" ht="12.75"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8:19" ht="12.75"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8:19" ht="12.75"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8:19" ht="12.75"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8:19" ht="12.75"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8:19" ht="12.75"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8:19" ht="12.75"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8:19" ht="12.75"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8:19" ht="12.75"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8:19" ht="12.75"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8:19" ht="12.75"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8:19" ht="12.75"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8:19" ht="12.75"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8:19" ht="12.75"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8:19" ht="12.75"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8:19" ht="12.75"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8:19" ht="12.75"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8:19" ht="12.75"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8:19" ht="12.75"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8:19" ht="12.75"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8:19" ht="12.75"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8:19" ht="12.75"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8:19" ht="12.75"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8:19" ht="12.75"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8:19" ht="12.75"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8:19" ht="12.75"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8:19" ht="12.75"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8:19" ht="12.75"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8:19" ht="12.75"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8:19" ht="12.75"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8:19" ht="12.75"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8:19" ht="12.75"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8:19" ht="12.75"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8:19" ht="12.75"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8:19" ht="12.75"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8:19" ht="12.75"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8:19" ht="12.75"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8:19" ht="12.75"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8:19" ht="12.75"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8:19" ht="12.75"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8:19" ht="12.75"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8:19" ht="12.75"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8:19" ht="12.75"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8:19" ht="12.75"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8:19" ht="12.75"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8:19" ht="12.75"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8:19" ht="12.75"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8:19" ht="12.75"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8:19" ht="12.75"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8:19" ht="12.75"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8:19" ht="12.75"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8:19" ht="12.75"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8:19" ht="12.75"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8:19" ht="12.75"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8:19" ht="12.75"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8:19" ht="12.75"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8:19" ht="12.75"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8:19" ht="12.75"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8:19" ht="12.75"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8:19" ht="12.75"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8:19" ht="12.75"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8:19" ht="12.75"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8:19" ht="12.75"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8:19" ht="12.75"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8:19" ht="12.75"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8:19" ht="12.75"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8:19" ht="12.75"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8:19" ht="12.75"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8:19" ht="12.75"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8:19" ht="12.75"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8:19" ht="12.75"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8:19" ht="12.75"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8:19" ht="12.75"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8:19" ht="12.75"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8:19" ht="12.75"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8:19" ht="12.75"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8:19" ht="12.75"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8:19" ht="12.75"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8:19" ht="12.75"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8:19" ht="12.75"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8:19" ht="12.75"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8:19" ht="12.75"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8:19" ht="12.75"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8:19" ht="12.75"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8:19" ht="12.75"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8:19" ht="12.75"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8:19" ht="12.75"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8:19" ht="12.75"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8:19" ht="12.75"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8:19" ht="12.75"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8:19" ht="12.75"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8:19" ht="12.75"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8:19" ht="12.75"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8:19" ht="12.75"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8:19" ht="12.75"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8:19" ht="12.75"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8:19" ht="12.75"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8:19" ht="12.75"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8:19" ht="12.75"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8:19" ht="12.75"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8:19" ht="12.75"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8:19" ht="12.75"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8:19" ht="12.75"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8:19" ht="12.75"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8:19" ht="12.75"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8:19" ht="12.75"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8:19" ht="12.75"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8:19" ht="12.75"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8:19" ht="12.75"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8:19" ht="12.75"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8:19" ht="12.75"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8:19" ht="12.75"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8:19" ht="12.75"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8:19" ht="12.75"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8:19" ht="12.75"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8:19" ht="12.75"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8:19" ht="12.75"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8:19" ht="12.75"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8:19" ht="12.75"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8:19" ht="12.75"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8:19" ht="12.75"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8:19" ht="12.75"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8:19" ht="12.75"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8:19" ht="12.75"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8:19" ht="12.75"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8:19" ht="12.75"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8:19" ht="12.75"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8:19" ht="12.75"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8:19" ht="12.75"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8:19" ht="12.75"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8:19" ht="12.75"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8:19" ht="12.75"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8:19" ht="12.75"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8:19" ht="12.75"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8:19" ht="12.75"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8:19" ht="12.75"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8:19" ht="12.75"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8:19" ht="12.75"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8:19" ht="12.75"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8:19" ht="12.75"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8:19" ht="12.75"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8:19" ht="12.75"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8:19" ht="12.75"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8:19" ht="12.75"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8:19" ht="12.75"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8:19" ht="12.75"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8:19" ht="12.75"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8:19" ht="12.75"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  <row r="3056" spans="8:19" ht="12.75"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</row>
    <row r="3057" spans="8:19" ht="12.75"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</row>
    <row r="3058" spans="8:19" ht="12.75"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</row>
    <row r="3059" spans="8:19" ht="12.75"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</row>
    <row r="3060" spans="8:19" ht="12.75"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</row>
    <row r="3061" spans="8:19" ht="12.75"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</row>
    <row r="3062" spans="8:19" ht="12.75"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</row>
    <row r="3063" spans="8:19" ht="12.75"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</row>
    <row r="3064" spans="8:19" ht="12.75"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</row>
    <row r="3065" spans="8:19" ht="12.75"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</row>
    <row r="3066" spans="8:19" ht="12.75"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</row>
    <row r="3067" spans="8:19" ht="12.75"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</row>
    <row r="3068" spans="8:19" ht="12.75"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</row>
    <row r="3069" spans="8:19" ht="12.75"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</row>
    <row r="3070" spans="8:19" ht="12.75"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</row>
    <row r="3071" spans="8:19" ht="12.75"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</row>
    <row r="3072" spans="8:19" ht="12.75"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</row>
    <row r="3073" spans="8:19" ht="12.75"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</row>
    <row r="3074" spans="8:19" ht="12.75"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</row>
    <row r="3075" spans="8:19" ht="12.75"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</row>
    <row r="3076" spans="8:19" ht="12.75"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</row>
    <row r="3077" spans="8:19" ht="12.75"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</row>
    <row r="3078" spans="8:19" ht="12.75"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</row>
    <row r="3079" spans="8:19" ht="12.75"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</row>
    <row r="3080" spans="8:19" ht="12.75"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</row>
    <row r="3081" spans="8:19" ht="12.75"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</row>
    <row r="3082" spans="8:19" ht="12.75"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</row>
    <row r="3083" spans="8:19" ht="12.75"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</row>
    <row r="3084" spans="8:19" ht="12.75"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</row>
    <row r="3085" spans="8:19" ht="12.75"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</row>
    <row r="3086" spans="8:19" ht="12.75"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</row>
    <row r="3087" spans="8:19" ht="12.75"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</row>
    <row r="3088" spans="8:19" ht="12.75"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8:19" ht="12.75"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</row>
    <row r="3090" spans="8:19" ht="12.75"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</row>
    <row r="3091" spans="8:19" ht="12.75"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</row>
    <row r="3092" spans="8:19" ht="12.75"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</row>
    <row r="3093" spans="8:19" ht="12.75"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</row>
    <row r="3094" spans="8:19" ht="12.75"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</row>
    <row r="3095" spans="8:19" ht="12.75"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</row>
    <row r="3096" spans="8:19" ht="12.75"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</row>
    <row r="3097" spans="8:19" ht="12.75"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</row>
    <row r="3098" spans="8:19" ht="12.75"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</row>
    <row r="3099" spans="8:19" ht="12.75"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</row>
    <row r="3100" spans="8:19" ht="12.75"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</row>
    <row r="3101" spans="8:19" ht="12.75"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</row>
    <row r="3102" spans="8:19" ht="12.75"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</row>
    <row r="3103" spans="8:19" ht="12.75"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</row>
    <row r="3104" spans="8:19" ht="12.75"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</row>
    <row r="3105" spans="8:19" ht="12.75"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</row>
    <row r="3106" spans="8:19" ht="12.75"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</row>
    <row r="3107" spans="8:19" ht="12.75"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</row>
    <row r="3108" spans="8:19" ht="12.75"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</row>
    <row r="3109" spans="8:19" ht="12.75"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</row>
    <row r="3110" spans="8:19" ht="12.75"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</row>
    <row r="3111" spans="8:19" ht="12.75"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</row>
    <row r="3112" spans="8:19" ht="12.75"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</row>
    <row r="3113" spans="8:19" ht="12.75"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</row>
    <row r="3114" spans="8:19" ht="12.75"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</row>
    <row r="3115" spans="8:19" ht="12.75"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</row>
    <row r="3116" spans="8:19" ht="12.75"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</row>
    <row r="3117" spans="8:19" ht="12.75"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</row>
    <row r="3118" spans="8:19" ht="12.75"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</row>
    <row r="3119" spans="8:19" ht="12.75"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</row>
    <row r="3120" spans="8:19" ht="12.75"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</row>
    <row r="3121" spans="8:19" ht="12.75"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</row>
    <row r="3122" spans="8:19" ht="12.75"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</row>
    <row r="3123" spans="8:19" ht="12.75"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</row>
    <row r="3124" spans="8:19" ht="12.75"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</row>
    <row r="3125" spans="8:19" ht="12.75"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</row>
    <row r="3126" spans="8:19" ht="12.75"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</row>
    <row r="3127" spans="8:19" ht="12.75"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</row>
    <row r="3128" spans="8:19" ht="12.75"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</row>
    <row r="3129" spans="8:19" ht="12.75"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</row>
    <row r="3130" spans="8:19" ht="12.75"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</row>
    <row r="3131" spans="8:19" ht="12.75"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</row>
    <row r="3132" spans="8:19" ht="12.75"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</row>
    <row r="3133" spans="8:19" ht="12.75"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</row>
    <row r="3134" spans="8:19" ht="12.75"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</row>
    <row r="3135" spans="8:19" ht="12.75"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</row>
    <row r="3136" spans="8:19" ht="12.75"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</row>
    <row r="3137" spans="8:19" ht="12.75"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</row>
    <row r="3138" spans="8:19" ht="12.75"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</row>
    <row r="3139" spans="8:19" ht="12.75"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</row>
    <row r="3140" spans="8:19" ht="12.75"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</row>
    <row r="3141" spans="8:19" ht="12.75"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</row>
    <row r="3142" spans="8:19" ht="12.75"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</row>
    <row r="3143" spans="8:19" ht="12.75"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</row>
    <row r="3144" spans="8:19" ht="12.75"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</row>
    <row r="3145" spans="8:19" ht="12.75"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</row>
    <row r="3146" spans="8:19" ht="12.75"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</row>
    <row r="3147" spans="8:19" ht="12.75"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</row>
    <row r="3148" spans="8:19" ht="12.75"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</row>
    <row r="3149" spans="8:19" ht="12.75"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</row>
    <row r="3150" spans="8:19" ht="12.75"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</row>
    <row r="3151" spans="8:19" ht="12.75"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</row>
    <row r="3152" spans="8:19" ht="12.75"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</row>
    <row r="3153" spans="8:19" ht="12.75"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</row>
    <row r="3154" spans="8:19" ht="12.75"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</row>
    <row r="3155" spans="8:19" ht="12.75"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</row>
    <row r="3156" spans="8:19" ht="12.75"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</row>
    <row r="3157" spans="8:19" ht="12.75"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</row>
    <row r="3158" spans="8:19" ht="12.75"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</row>
    <row r="3159" spans="8:19" ht="12.75"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</row>
    <row r="3160" spans="8:19" ht="12.75"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</row>
    <row r="3161" spans="8:19" ht="12.75"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</row>
    <row r="3162" spans="8:19" ht="12.75"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</row>
    <row r="3163" spans="8:19" ht="12.75"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</row>
    <row r="3164" spans="8:19" ht="12.75"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</row>
    <row r="3165" spans="8:19" ht="12.75"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</row>
    <row r="3166" spans="8:19" ht="12.75"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</row>
    <row r="3167" spans="8:19" ht="12.75"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</row>
    <row r="3168" spans="8:19" ht="12.75"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</row>
    <row r="3169" spans="8:19" ht="12.75"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</row>
    <row r="3170" spans="8:19" ht="12.75"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</row>
    <row r="3171" spans="8:19" ht="12.75"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</row>
    <row r="3172" spans="8:19" ht="12.75"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</row>
    <row r="3173" spans="8:19" ht="12.75"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</row>
    <row r="3174" spans="8:19" ht="12.75"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</row>
    <row r="3175" spans="8:19" ht="12.75"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</row>
    <row r="3176" spans="8:19" ht="12.75"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</row>
    <row r="3177" spans="8:19" ht="12.75"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</row>
    <row r="3178" spans="8:19" ht="12.75"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</row>
    <row r="3179" spans="8:19" ht="12.75"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</row>
    <row r="3180" spans="8:19" ht="12.75"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</row>
    <row r="3181" spans="8:19" ht="12.75"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</row>
    <row r="3182" spans="8:19" ht="12.75"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</row>
    <row r="3183" spans="8:19" ht="12.75"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</row>
    <row r="3184" spans="8:19" ht="12.75"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</row>
    <row r="3185" spans="8:19" ht="12.75"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</row>
    <row r="3186" spans="8:19" ht="12.75"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</row>
    <row r="3187" spans="8:19" ht="12.75"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</row>
    <row r="3188" spans="8:19" ht="12.75"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</row>
    <row r="3189" spans="8:19" ht="12.75"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</row>
    <row r="3190" spans="8:19" ht="12.75"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</row>
    <row r="3191" spans="8:19" ht="12.75"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</row>
    <row r="3192" spans="8:19" ht="12.75"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</row>
    <row r="3193" spans="8:19" ht="12.75"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</row>
    <row r="3194" spans="8:19" ht="12.75"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</row>
    <row r="3195" spans="8:19" ht="12.75"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</row>
    <row r="3196" spans="8:19" ht="12.75"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</row>
    <row r="3197" spans="8:19" ht="12.75"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</row>
    <row r="3198" spans="8:19" ht="12.75"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</row>
    <row r="3199" spans="8:19" ht="12.75"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</row>
    <row r="3200" spans="8:19" ht="12.75"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</row>
    <row r="3201" spans="8:19" ht="12.75"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</row>
    <row r="3202" spans="8:19" ht="12.75"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</row>
    <row r="3203" spans="8:19" ht="12.75"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</row>
    <row r="3204" spans="8:19" ht="12.75"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</row>
    <row r="3205" spans="8:19" ht="12.75"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</row>
    <row r="3206" spans="8:19" ht="12.75"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</row>
    <row r="3207" spans="8:19" ht="12.75"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</row>
    <row r="3208" spans="8:19" ht="12.75"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</row>
    <row r="3209" spans="8:19" ht="12.75"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</row>
    <row r="3210" spans="8:19" ht="12.75"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</row>
    <row r="3211" spans="8:19" ht="12.75"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</row>
    <row r="3212" spans="8:19" ht="12.75"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</row>
    <row r="3213" spans="8:19" ht="12.75"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</row>
    <row r="3214" spans="10:19" ht="12.75">
      <c r="J3214" s="1"/>
      <c r="K3214" s="1"/>
      <c r="L3214" s="1"/>
      <c r="M3214" s="1"/>
      <c r="N3214" s="1"/>
      <c r="O3214" s="1"/>
      <c r="P3214" s="1"/>
      <c r="Q3214" s="1"/>
      <c r="R3214" s="1"/>
      <c r="S3214" s="1"/>
    </row>
    <row r="3215" ht="12.75">
      <c r="S3215" s="1"/>
    </row>
    <row r="3216" ht="12.75">
      <c r="S3216" s="1"/>
    </row>
    <row r="3217" ht="12.75">
      <c r="S3217" s="1"/>
    </row>
    <row r="3218" ht="12.75">
      <c r="S3218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workbookViewId="0" topLeftCell="A4">
      <selection activeCell="I35" sqref="I35"/>
    </sheetView>
  </sheetViews>
  <sheetFormatPr defaultColWidth="9.140625" defaultRowHeight="12.75"/>
  <cols>
    <col min="1" max="1" width="9.28125" style="0" bestFit="1" customWidth="1"/>
    <col min="2" max="2" width="36.8515625" style="0" customWidth="1"/>
    <col min="3" max="3" width="11.00390625" style="0" bestFit="1" customWidth="1"/>
    <col min="4" max="4" width="11.8515625" style="0" customWidth="1"/>
    <col min="5" max="5" width="7.8515625" style="0" customWidth="1"/>
    <col min="6" max="6" width="8.7109375" style="7" customWidth="1"/>
    <col min="7" max="7" width="11.8515625" style="0" customWidth="1"/>
    <col min="8" max="8" width="11.8515625" style="0" bestFit="1" customWidth="1"/>
    <col min="9" max="9" width="17.00390625" style="0" customWidth="1"/>
    <col min="10" max="10" width="6.140625" style="0" customWidth="1"/>
    <col min="11" max="11" width="2.140625" style="0" customWidth="1"/>
    <col min="12" max="12" width="3.8515625" style="0" customWidth="1"/>
    <col min="13" max="13" width="18.57421875" style="0" customWidth="1"/>
    <col min="14" max="14" width="17.421875" style="0" customWidth="1"/>
    <col min="15" max="15" width="17.28125" style="0" customWidth="1"/>
    <col min="16" max="16" width="11.8515625" style="0" bestFit="1" customWidth="1"/>
  </cols>
  <sheetData>
    <row r="1" spans="2:10" ht="12.75">
      <c r="B1" s="22"/>
      <c r="H1" s="23" t="s">
        <v>111</v>
      </c>
      <c r="I1" s="24"/>
      <c r="J1" s="24"/>
    </row>
    <row r="2" spans="1:10" ht="13.5" thickBot="1">
      <c r="A2" s="87" t="s">
        <v>112</v>
      </c>
      <c r="B2" s="87"/>
      <c r="C2" s="25"/>
      <c r="D2" s="25"/>
      <c r="E2" s="25"/>
      <c r="F2" s="58" t="s">
        <v>113</v>
      </c>
      <c r="G2" s="26" t="s">
        <v>114</v>
      </c>
      <c r="H2" s="27" t="s">
        <v>115</v>
      </c>
      <c r="I2" s="83" t="s">
        <v>175</v>
      </c>
      <c r="J2" s="24"/>
    </row>
    <row r="3" spans="1:10" ht="12.75">
      <c r="A3" t="s">
        <v>116</v>
      </c>
      <c r="B3" s="22"/>
      <c r="F3" s="7">
        <v>21</v>
      </c>
      <c r="H3" s="24"/>
      <c r="I3" s="82"/>
      <c r="J3" s="24"/>
    </row>
    <row r="4" spans="1:10" ht="12.75">
      <c r="A4" s="28" t="s">
        <v>117</v>
      </c>
      <c r="B4" s="29"/>
      <c r="C4" s="28"/>
      <c r="D4" s="28"/>
      <c r="E4" s="28"/>
      <c r="F4" s="59"/>
      <c r="G4" s="30">
        <v>600</v>
      </c>
      <c r="H4" s="30">
        <v>600</v>
      </c>
      <c r="I4" s="82">
        <f>G4*$F$3/0.3048</f>
        <v>41338.58267716535</v>
      </c>
      <c r="J4" s="24"/>
    </row>
    <row r="5" spans="1:10" ht="12.75">
      <c r="A5" s="28" t="s">
        <v>152</v>
      </c>
      <c r="B5" s="49"/>
      <c r="C5" s="28"/>
      <c r="D5" s="28"/>
      <c r="E5" s="28"/>
      <c r="F5" s="59"/>
      <c r="G5" s="30">
        <v>700</v>
      </c>
      <c r="H5" s="30">
        <v>700</v>
      </c>
      <c r="I5" s="82">
        <f>G5*$F$3/0.3048</f>
        <v>48228.34645669291</v>
      </c>
      <c r="J5" s="24"/>
    </row>
    <row r="6" spans="1:10" ht="12.75">
      <c r="A6" s="50" t="s">
        <v>153</v>
      </c>
      <c r="B6" s="51"/>
      <c r="C6" s="50"/>
      <c r="D6" s="50"/>
      <c r="E6" s="50"/>
      <c r="F6" s="60"/>
      <c r="G6" s="52">
        <f>1.15*G4</f>
        <v>690</v>
      </c>
      <c r="H6" s="52">
        <f>1.15*H4</f>
        <v>690</v>
      </c>
      <c r="I6" s="82">
        <f>G6*$F$3/0.3048</f>
        <v>47539.370078740154</v>
      </c>
      <c r="J6" s="24"/>
    </row>
    <row r="7" spans="1:10" ht="12.75">
      <c r="A7" t="s">
        <v>118</v>
      </c>
      <c r="B7" s="22"/>
      <c r="C7" t="s">
        <v>119</v>
      </c>
      <c r="G7" s="24"/>
      <c r="H7" s="24"/>
      <c r="I7" s="24"/>
      <c r="J7" s="24"/>
    </row>
    <row r="8" spans="2:10" ht="12.75">
      <c r="B8" s="47" t="s">
        <v>120</v>
      </c>
      <c r="G8" s="24">
        <f>0.5*1000000</f>
        <v>500000</v>
      </c>
      <c r="H8" s="24"/>
      <c r="I8" s="24"/>
      <c r="J8" s="24"/>
    </row>
    <row r="9" spans="1:10" ht="12.75">
      <c r="A9" s="28"/>
      <c r="B9" s="29" t="s">
        <v>121</v>
      </c>
      <c r="C9" s="28"/>
      <c r="D9" s="28"/>
      <c r="E9" s="28"/>
      <c r="F9" s="59"/>
      <c r="G9" s="30"/>
      <c r="H9" s="30">
        <v>500000</v>
      </c>
      <c r="I9" s="24"/>
      <c r="J9" s="24"/>
    </row>
    <row r="10" spans="1:10" ht="12.75">
      <c r="A10" t="s">
        <v>122</v>
      </c>
      <c r="B10" s="22"/>
      <c r="C10" t="s">
        <v>123</v>
      </c>
      <c r="G10" s="24"/>
      <c r="H10" s="24"/>
      <c r="I10" s="24"/>
      <c r="J10" s="24"/>
    </row>
    <row r="11" spans="2:10" ht="12.75">
      <c r="B11" s="22" t="s">
        <v>124</v>
      </c>
      <c r="G11" s="24">
        <f>(45*4*100*10*8/(3*3))</f>
        <v>160000</v>
      </c>
      <c r="H11" s="24"/>
      <c r="I11" s="24"/>
      <c r="J11" s="24"/>
    </row>
    <row r="12" spans="1:10" ht="12.75">
      <c r="A12" s="28" t="s">
        <v>125</v>
      </c>
      <c r="B12" s="29"/>
      <c r="C12" s="28"/>
      <c r="D12" s="28"/>
      <c r="E12" s="28"/>
      <c r="F12" s="59"/>
      <c r="G12" s="30"/>
      <c r="H12" s="30">
        <v>160000</v>
      </c>
      <c r="I12" s="24"/>
      <c r="J12" s="24"/>
    </row>
    <row r="13" spans="1:10" ht="12.75">
      <c r="A13" t="s">
        <v>126</v>
      </c>
      <c r="B13" s="22"/>
      <c r="H13" s="24"/>
      <c r="I13" s="24"/>
      <c r="J13" s="24"/>
    </row>
    <row r="14" spans="2:10" ht="12.75">
      <c r="B14" s="22" t="s">
        <v>127</v>
      </c>
      <c r="H14" s="24"/>
      <c r="I14" s="24"/>
      <c r="J14" s="24"/>
    </row>
    <row r="15" spans="2:10" ht="12.75">
      <c r="B15" s="22" t="s">
        <v>128</v>
      </c>
      <c r="C15" t="s">
        <v>129</v>
      </c>
      <c r="H15" s="24"/>
      <c r="I15" s="24"/>
      <c r="J15" s="24"/>
    </row>
    <row r="16" spans="2:10" ht="12.75">
      <c r="B16" s="22" t="s">
        <v>130</v>
      </c>
      <c r="C16">
        <f>(2*40*50*1+2*15*40*2)/27</f>
        <v>237.03703703703704</v>
      </c>
      <c r="D16" t="s">
        <v>131</v>
      </c>
      <c r="F16" s="7">
        <f>500*C16</f>
        <v>118518.51851851853</v>
      </c>
      <c r="H16" s="24"/>
      <c r="I16" s="24"/>
      <c r="J16" s="24"/>
    </row>
    <row r="17" spans="2:10" ht="12.75">
      <c r="B17" s="22"/>
      <c r="C17" s="31" t="s">
        <v>132</v>
      </c>
      <c r="D17" s="31"/>
      <c r="E17" s="31"/>
      <c r="F17" s="61">
        <v>50000</v>
      </c>
      <c r="G17" s="32">
        <f>F16+F17</f>
        <v>168518.51851851854</v>
      </c>
      <c r="H17" s="33">
        <v>170000</v>
      </c>
      <c r="I17" s="24"/>
      <c r="J17" s="24"/>
    </row>
    <row r="18" spans="2:10" ht="12.75">
      <c r="B18" s="22" t="s">
        <v>133</v>
      </c>
      <c r="C18" s="31"/>
      <c r="D18" s="31"/>
      <c r="E18" s="31"/>
      <c r="F18" s="61"/>
      <c r="G18" s="32"/>
      <c r="H18" s="33"/>
      <c r="I18" s="24"/>
      <c r="J18" s="24"/>
    </row>
    <row r="19" spans="2:10" ht="12.75">
      <c r="B19" s="22" t="s">
        <v>134</v>
      </c>
      <c r="C19" s="31"/>
      <c r="D19" s="31"/>
      <c r="E19" s="31"/>
      <c r="F19" s="61"/>
      <c r="G19" s="32"/>
      <c r="H19" s="33">
        <f>1.26*(91*55+12000)</f>
        <v>21426.3</v>
      </c>
      <c r="I19" s="24"/>
      <c r="J19" s="24"/>
    </row>
    <row r="20" spans="2:10" ht="12.75">
      <c r="B20" s="22"/>
      <c r="C20" s="31"/>
      <c r="D20" s="31"/>
      <c r="E20" s="31"/>
      <c r="F20" s="61"/>
      <c r="G20" s="32"/>
      <c r="H20" s="33"/>
      <c r="I20" s="24"/>
      <c r="J20" s="24"/>
    </row>
    <row r="21" spans="1:10" ht="13.5" thickBot="1">
      <c r="A21" s="34"/>
      <c r="B21" s="35" t="s">
        <v>135</v>
      </c>
      <c r="C21" s="34"/>
      <c r="D21" s="34"/>
      <c r="E21" s="34"/>
      <c r="F21" s="62"/>
      <c r="G21" s="34"/>
      <c r="H21" s="36">
        <f>SUM(H17:H19)/2</f>
        <v>95713.15</v>
      </c>
      <c r="I21" s="24"/>
      <c r="J21" s="24"/>
    </row>
    <row r="22" spans="2:10" ht="12.75">
      <c r="B22" s="22"/>
      <c r="G22" s="24"/>
      <c r="H22" s="37"/>
      <c r="I22" s="24"/>
      <c r="J22" s="24"/>
    </row>
    <row r="23" spans="2:10" ht="12.75">
      <c r="B23" s="22"/>
      <c r="G23" s="24"/>
      <c r="H23" s="37"/>
      <c r="I23" s="24"/>
      <c r="J23" s="24"/>
    </row>
    <row r="24" spans="2:10" ht="12.75">
      <c r="B24" s="22"/>
      <c r="G24" s="24"/>
      <c r="H24" s="37"/>
      <c r="I24" s="24"/>
      <c r="J24" s="24"/>
    </row>
    <row r="25" spans="2:10" ht="12.75">
      <c r="B25" s="22"/>
      <c r="I25" s="24"/>
      <c r="J25" s="24"/>
    </row>
    <row r="26" spans="1:10" ht="13.5" thickBot="1">
      <c r="A26" s="25" t="s">
        <v>73</v>
      </c>
      <c r="B26" s="38" t="s">
        <v>74</v>
      </c>
      <c r="C26" s="25" t="s">
        <v>75</v>
      </c>
      <c r="D26" s="25" t="s">
        <v>76</v>
      </c>
      <c r="E26" s="25" t="s">
        <v>77</v>
      </c>
      <c r="F26" s="48" t="s">
        <v>78</v>
      </c>
      <c r="G26" s="25" t="s">
        <v>79</v>
      </c>
      <c r="H26" s="25" t="s">
        <v>80</v>
      </c>
      <c r="I26" s="39" t="s">
        <v>136</v>
      </c>
      <c r="J26" s="40"/>
    </row>
    <row r="27" spans="1:12" ht="12.75">
      <c r="A27">
        <v>1</v>
      </c>
      <c r="C27" s="1">
        <v>569974.86</v>
      </c>
      <c r="D27" s="1">
        <v>7096544.54</v>
      </c>
      <c r="H27" s="7"/>
      <c r="I27" s="24">
        <f>$H$21</f>
        <v>95713.15</v>
      </c>
      <c r="L27">
        <v>1</v>
      </c>
    </row>
    <row r="28" spans="1:12" ht="12.75">
      <c r="A28">
        <v>2</v>
      </c>
      <c r="C28" s="1">
        <v>574397.36</v>
      </c>
      <c r="D28" s="1">
        <v>7094188.48</v>
      </c>
      <c r="H28" s="7"/>
      <c r="I28" s="24">
        <f aca="true" t="shared" si="0" ref="I28:I33">$H$21</f>
        <v>95713.15</v>
      </c>
      <c r="L28">
        <f>+L27+1</f>
        <v>2</v>
      </c>
    </row>
    <row r="29" spans="1:12" ht="12.75">
      <c r="A29">
        <v>3</v>
      </c>
      <c r="C29" s="1">
        <v>575702.81</v>
      </c>
      <c r="D29" s="1">
        <v>7093423.86</v>
      </c>
      <c r="H29" s="7"/>
      <c r="I29" s="24">
        <f t="shared" si="0"/>
        <v>95713.15</v>
      </c>
      <c r="L29">
        <f aca="true" t="shared" si="1" ref="L29:L92">+L28+1</f>
        <v>3</v>
      </c>
    </row>
    <row r="30" spans="1:12" ht="12.75">
      <c r="A30">
        <v>4</v>
      </c>
      <c r="C30" s="1">
        <v>577576.86</v>
      </c>
      <c r="D30" s="1">
        <v>7092330.67</v>
      </c>
      <c r="H30" s="7"/>
      <c r="I30" s="24">
        <f t="shared" si="0"/>
        <v>95713.15</v>
      </c>
      <c r="L30">
        <f t="shared" si="1"/>
        <v>4</v>
      </c>
    </row>
    <row r="31" spans="1:12" ht="12.75">
      <c r="A31">
        <v>5</v>
      </c>
      <c r="B31" t="s">
        <v>164</v>
      </c>
      <c r="C31" s="1">
        <v>578895.01</v>
      </c>
      <c r="D31" s="1">
        <v>7091572.31</v>
      </c>
      <c r="H31" s="7"/>
      <c r="I31" s="24">
        <f t="shared" si="0"/>
        <v>95713.15</v>
      </c>
      <c r="L31">
        <f t="shared" si="1"/>
        <v>5</v>
      </c>
    </row>
    <row r="32" spans="1:12" ht="12.75">
      <c r="A32">
        <v>6</v>
      </c>
      <c r="C32" s="1">
        <v>580882.74</v>
      </c>
      <c r="D32" s="1">
        <v>7090417.93</v>
      </c>
      <c r="H32" s="7"/>
      <c r="I32" s="24">
        <f t="shared" si="0"/>
        <v>95713.15</v>
      </c>
      <c r="L32">
        <f t="shared" si="1"/>
        <v>6</v>
      </c>
    </row>
    <row r="33" spans="1:12" ht="12.75">
      <c r="A33">
        <v>7</v>
      </c>
      <c r="B33" t="s">
        <v>165</v>
      </c>
      <c r="C33" s="1">
        <v>581664.12</v>
      </c>
      <c r="D33" s="1">
        <v>7089966.37</v>
      </c>
      <c r="H33" s="7"/>
      <c r="I33" s="24">
        <f t="shared" si="0"/>
        <v>95713.15</v>
      </c>
      <c r="L33">
        <f t="shared" si="1"/>
        <v>7</v>
      </c>
    </row>
    <row r="34" spans="1:14" ht="12.75">
      <c r="A34" s="50">
        <v>8</v>
      </c>
      <c r="B34" s="50" t="s">
        <v>106</v>
      </c>
      <c r="C34" s="57">
        <v>586812.65</v>
      </c>
      <c r="D34" s="57">
        <v>7086973.77</v>
      </c>
      <c r="E34" s="50">
        <v>521</v>
      </c>
      <c r="F34" s="60">
        <v>139</v>
      </c>
      <c r="G34" s="50">
        <v>21</v>
      </c>
      <c r="H34" s="60">
        <f>F34*G34</f>
        <v>2919</v>
      </c>
      <c r="I34" s="52">
        <f>(H$6*H34+H$9+H$12)</f>
        <v>2674110</v>
      </c>
      <c r="J34" s="18"/>
      <c r="K34" s="18" t="s">
        <v>191</v>
      </c>
      <c r="L34">
        <f t="shared" si="1"/>
        <v>8</v>
      </c>
      <c r="N34" s="24">
        <f>+I34</f>
        <v>2674110</v>
      </c>
    </row>
    <row r="35" spans="1:13" ht="12.75">
      <c r="A35" s="50">
        <v>9</v>
      </c>
      <c r="B35" s="50" t="s">
        <v>166</v>
      </c>
      <c r="C35" s="57">
        <v>602553.9</v>
      </c>
      <c r="D35" s="57">
        <v>7078345.68</v>
      </c>
      <c r="E35" s="50"/>
      <c r="F35" s="60">
        <f>554.5*3.048</f>
        <v>1690.116</v>
      </c>
      <c r="G35" s="50">
        <v>21</v>
      </c>
      <c r="H35" s="60">
        <f>F35*G35</f>
        <v>35492.436</v>
      </c>
      <c r="I35" s="52">
        <f>(H$4*H35+H$9+H$12)</f>
        <v>21955461.6</v>
      </c>
      <c r="K35" s="18" t="s">
        <v>30</v>
      </c>
      <c r="L35">
        <f t="shared" si="1"/>
        <v>9</v>
      </c>
      <c r="M35" s="24">
        <f>+I35</f>
        <v>21955461.6</v>
      </c>
    </row>
    <row r="36" spans="1:12" ht="12.75">
      <c r="A36">
        <v>10</v>
      </c>
      <c r="C36" s="1">
        <v>606016.07</v>
      </c>
      <c r="D36" s="1">
        <v>7076562.42</v>
      </c>
      <c r="H36" s="7"/>
      <c r="I36" s="24">
        <f>$H$21</f>
        <v>95713.15</v>
      </c>
      <c r="L36">
        <f t="shared" si="1"/>
        <v>10</v>
      </c>
    </row>
    <row r="37" spans="1:14" ht="12.75">
      <c r="A37" s="50">
        <v>11</v>
      </c>
      <c r="B37" s="50" t="s">
        <v>167</v>
      </c>
      <c r="C37" s="57">
        <v>608844.69</v>
      </c>
      <c r="D37" s="57">
        <v>7075104.63</v>
      </c>
      <c r="E37" s="50">
        <v>519</v>
      </c>
      <c r="F37" s="60">
        <v>200</v>
      </c>
      <c r="G37" s="50">
        <v>21</v>
      </c>
      <c r="H37" s="60">
        <f>F37*G37</f>
        <v>4200</v>
      </c>
      <c r="I37" s="52">
        <v>3558000</v>
      </c>
      <c r="K37" s="18" t="s">
        <v>191</v>
      </c>
      <c r="L37">
        <f t="shared" si="1"/>
        <v>11</v>
      </c>
      <c r="N37" s="24">
        <f>+I37</f>
        <v>3558000</v>
      </c>
    </row>
    <row r="38" spans="1:12" ht="12.75">
      <c r="A38">
        <v>12</v>
      </c>
      <c r="C38" s="1">
        <v>609490.67</v>
      </c>
      <c r="D38" s="1">
        <v>7074775.44</v>
      </c>
      <c r="H38" s="7"/>
      <c r="I38" s="24">
        <f>$H$21</f>
        <v>95713.15</v>
      </c>
      <c r="L38">
        <f t="shared" si="1"/>
        <v>12</v>
      </c>
    </row>
    <row r="39" spans="1:12" ht="12.75">
      <c r="A39">
        <v>13</v>
      </c>
      <c r="C39" s="1">
        <v>616084.56</v>
      </c>
      <c r="D39" s="1">
        <v>7067119.41</v>
      </c>
      <c r="H39" s="7"/>
      <c r="I39" s="24">
        <f>$H$21</f>
        <v>95713.15</v>
      </c>
      <c r="L39">
        <f t="shared" si="1"/>
        <v>13</v>
      </c>
    </row>
    <row r="40" spans="1:13" ht="12.75">
      <c r="A40" s="50">
        <v>14</v>
      </c>
      <c r="B40" s="51" t="s">
        <v>103</v>
      </c>
      <c r="C40" s="57">
        <v>616798.86</v>
      </c>
      <c r="D40" s="57">
        <v>7066085.23</v>
      </c>
      <c r="E40" s="50">
        <v>0</v>
      </c>
      <c r="F40" s="60">
        <v>901.2936</v>
      </c>
      <c r="G40" s="50">
        <v>21</v>
      </c>
      <c r="H40" s="60">
        <f>F40*G40</f>
        <v>18927.1656</v>
      </c>
      <c r="I40" s="52">
        <f>(H$5*H40+H$9+H$12)</f>
        <v>13909015.92</v>
      </c>
      <c r="J40" s="24" t="s">
        <v>174</v>
      </c>
      <c r="K40" s="18" t="s">
        <v>30</v>
      </c>
      <c r="L40">
        <f t="shared" si="1"/>
        <v>14</v>
      </c>
      <c r="M40" s="24">
        <f>+I40</f>
        <v>13909015.92</v>
      </c>
    </row>
    <row r="41" spans="1:14" ht="12.75">
      <c r="A41" s="50">
        <v>15</v>
      </c>
      <c r="B41" s="50" t="s">
        <v>102</v>
      </c>
      <c r="C41" s="57">
        <v>620204.01</v>
      </c>
      <c r="D41" s="57">
        <v>7065581.75</v>
      </c>
      <c r="E41" s="50">
        <v>851</v>
      </c>
      <c r="F41" s="60">
        <v>300.5</v>
      </c>
      <c r="G41" s="50">
        <v>21</v>
      </c>
      <c r="H41" s="60">
        <f>F41*G41</f>
        <v>6310.5</v>
      </c>
      <c r="I41" s="52">
        <f>(H$6*H41+H$9+H$12)</f>
        <v>5014245</v>
      </c>
      <c r="J41" s="24"/>
      <c r="K41" s="18" t="s">
        <v>191</v>
      </c>
      <c r="L41">
        <f t="shared" si="1"/>
        <v>15</v>
      </c>
      <c r="N41" s="24">
        <f>+I41</f>
        <v>5014245</v>
      </c>
    </row>
    <row r="42" spans="1:12" ht="12.75">
      <c r="A42">
        <v>16</v>
      </c>
      <c r="C42" s="1">
        <v>620684.48</v>
      </c>
      <c r="D42" s="1">
        <v>7065569.08</v>
      </c>
      <c r="H42" s="64"/>
      <c r="I42" s="24">
        <f>$H$21</f>
        <v>95713.15</v>
      </c>
      <c r="J42" s="18"/>
      <c r="K42" s="18"/>
      <c r="L42">
        <f t="shared" si="1"/>
        <v>16</v>
      </c>
    </row>
    <row r="43" spans="1:14" ht="12.75">
      <c r="A43" s="50">
        <v>17</v>
      </c>
      <c r="B43" s="50" t="s">
        <v>101</v>
      </c>
      <c r="C43" s="57">
        <v>623440.61</v>
      </c>
      <c r="D43" s="57">
        <v>7065497.28</v>
      </c>
      <c r="E43" s="50"/>
      <c r="F43" s="60">
        <v>200</v>
      </c>
      <c r="G43" s="50">
        <v>21</v>
      </c>
      <c r="H43" s="60">
        <f>F43*G43</f>
        <v>4200</v>
      </c>
      <c r="I43" s="52">
        <f>(H$6*H43+H$9+H$12)</f>
        <v>3558000</v>
      </c>
      <c r="K43" t="s">
        <v>191</v>
      </c>
      <c r="L43">
        <f t="shared" si="1"/>
        <v>17</v>
      </c>
      <c r="N43" s="24">
        <f>+I43</f>
        <v>3558000</v>
      </c>
    </row>
    <row r="44" spans="1:12" ht="12.75">
      <c r="A44">
        <v>18</v>
      </c>
      <c r="C44" s="1">
        <v>628601.73</v>
      </c>
      <c r="D44" s="1">
        <v>7066695.13</v>
      </c>
      <c r="H44" s="7"/>
      <c r="I44" s="24">
        <f>$H$21</f>
        <v>95713.15</v>
      </c>
      <c r="L44">
        <f t="shared" si="1"/>
        <v>18</v>
      </c>
    </row>
    <row r="45" spans="1:14" ht="12.75">
      <c r="A45" s="50">
        <v>19</v>
      </c>
      <c r="B45" s="50" t="s">
        <v>101</v>
      </c>
      <c r="C45" s="57">
        <v>628952.72</v>
      </c>
      <c r="D45" s="57">
        <v>7066575.24</v>
      </c>
      <c r="E45" s="50"/>
      <c r="F45" s="60">
        <v>200</v>
      </c>
      <c r="G45" s="50">
        <v>21</v>
      </c>
      <c r="H45" s="60">
        <f>F45*G45</f>
        <v>4200</v>
      </c>
      <c r="I45" s="52">
        <f>(H$6*H45+H$9+H$12)</f>
        <v>3558000</v>
      </c>
      <c r="K45" t="s">
        <v>191</v>
      </c>
      <c r="L45">
        <f t="shared" si="1"/>
        <v>19</v>
      </c>
      <c r="N45" s="24">
        <f>+I45</f>
        <v>3558000</v>
      </c>
    </row>
    <row r="46" spans="1:12" ht="12.75">
      <c r="A46">
        <v>20</v>
      </c>
      <c r="C46" s="1">
        <v>629268.95</v>
      </c>
      <c r="D46" s="1">
        <v>7066464.03</v>
      </c>
      <c r="H46" s="7"/>
      <c r="I46" s="24">
        <f aca="true" t="shared" si="2" ref="I46:I53">$H$21</f>
        <v>95713.15</v>
      </c>
      <c r="L46">
        <f t="shared" si="1"/>
        <v>20</v>
      </c>
    </row>
    <row r="47" spans="1:12" ht="12.75">
      <c r="A47">
        <v>21</v>
      </c>
      <c r="C47" s="1">
        <v>633009.9</v>
      </c>
      <c r="D47" s="1">
        <v>7066070.48</v>
      </c>
      <c r="H47" s="7"/>
      <c r="I47" s="24">
        <f t="shared" si="2"/>
        <v>95713.15</v>
      </c>
      <c r="L47">
        <f t="shared" si="1"/>
        <v>21</v>
      </c>
    </row>
    <row r="48" spans="1:12" ht="12.75">
      <c r="A48">
        <v>22</v>
      </c>
      <c r="C48" s="1">
        <v>633201.03</v>
      </c>
      <c r="D48" s="1">
        <v>7066153.01</v>
      </c>
      <c r="H48" s="7"/>
      <c r="I48" s="24">
        <f t="shared" si="2"/>
        <v>95713.15</v>
      </c>
      <c r="L48">
        <f t="shared" si="1"/>
        <v>22</v>
      </c>
    </row>
    <row r="49" spans="1:12" ht="12.75">
      <c r="A49">
        <v>23</v>
      </c>
      <c r="C49" s="1">
        <v>633716.22</v>
      </c>
      <c r="D49" s="1">
        <v>7066362.73</v>
      </c>
      <c r="H49" s="7"/>
      <c r="I49" s="24">
        <f t="shared" si="2"/>
        <v>95713.15</v>
      </c>
      <c r="L49">
        <f t="shared" si="1"/>
        <v>23</v>
      </c>
    </row>
    <row r="50" spans="1:12" ht="12.75">
      <c r="A50">
        <v>24</v>
      </c>
      <c r="C50" s="1">
        <v>634172.32</v>
      </c>
      <c r="D50" s="1">
        <v>7066572.98</v>
      </c>
      <c r="H50" s="7"/>
      <c r="I50" s="24">
        <f t="shared" si="2"/>
        <v>95713.15</v>
      </c>
      <c r="L50">
        <f t="shared" si="1"/>
        <v>24</v>
      </c>
    </row>
    <row r="51" spans="1:12" ht="12.75">
      <c r="A51">
        <v>25</v>
      </c>
      <c r="C51" s="1">
        <v>635608.41</v>
      </c>
      <c r="D51" s="1">
        <v>7067830.1</v>
      </c>
      <c r="H51" s="64"/>
      <c r="I51" s="24">
        <f t="shared" si="2"/>
        <v>95713.15</v>
      </c>
      <c r="J51" s="18"/>
      <c r="K51" s="18"/>
      <c r="L51">
        <f t="shared" si="1"/>
        <v>25</v>
      </c>
    </row>
    <row r="52" spans="1:12" ht="12.75">
      <c r="A52">
        <v>26</v>
      </c>
      <c r="C52" s="1">
        <v>636353.82</v>
      </c>
      <c r="D52" s="1">
        <v>7067935.22</v>
      </c>
      <c r="H52" s="7"/>
      <c r="I52" s="24">
        <f t="shared" si="2"/>
        <v>95713.15</v>
      </c>
      <c r="L52">
        <f t="shared" si="1"/>
        <v>26</v>
      </c>
    </row>
    <row r="53" spans="1:12" ht="12.75">
      <c r="A53">
        <v>27</v>
      </c>
      <c r="C53" s="1">
        <v>636638.78</v>
      </c>
      <c r="D53" s="1">
        <v>7067956.07</v>
      </c>
      <c r="H53" s="7"/>
      <c r="I53" s="24">
        <f t="shared" si="2"/>
        <v>95713.15</v>
      </c>
      <c r="L53">
        <f t="shared" si="1"/>
        <v>27</v>
      </c>
    </row>
    <row r="54" spans="1:15" ht="12.75">
      <c r="A54" s="49">
        <v>28</v>
      </c>
      <c r="B54" s="49" t="s">
        <v>168</v>
      </c>
      <c r="C54" s="65">
        <v>636991.5</v>
      </c>
      <c r="D54" s="65">
        <v>7067979</v>
      </c>
      <c r="E54" s="49"/>
      <c r="F54" s="66">
        <v>150</v>
      </c>
      <c r="G54" s="67">
        <v>21</v>
      </c>
      <c r="H54" s="69">
        <f>F54*G54</f>
        <v>3150</v>
      </c>
      <c r="I54" s="70">
        <f>(H$6*H54+H$9+H$12)</f>
        <v>2833500</v>
      </c>
      <c r="L54">
        <f t="shared" si="1"/>
        <v>28</v>
      </c>
      <c r="O54" s="24">
        <f>+I54</f>
        <v>2833500</v>
      </c>
    </row>
    <row r="55" spans="1:12" ht="12.75">
      <c r="A55">
        <v>29</v>
      </c>
      <c r="C55" s="1">
        <v>637642.21</v>
      </c>
      <c r="D55" s="1">
        <v>7067941.65</v>
      </c>
      <c r="H55" s="7"/>
      <c r="I55" s="24">
        <f>$H$21</f>
        <v>95713.15</v>
      </c>
      <c r="L55">
        <f t="shared" si="1"/>
        <v>29</v>
      </c>
    </row>
    <row r="56" spans="1:12" ht="12.75">
      <c r="A56">
        <v>30</v>
      </c>
      <c r="C56" s="1">
        <v>638156.53</v>
      </c>
      <c r="D56" s="1">
        <v>7067753.12</v>
      </c>
      <c r="H56" s="7"/>
      <c r="I56" s="24">
        <f>$H$21</f>
        <v>95713.15</v>
      </c>
      <c r="L56">
        <f t="shared" si="1"/>
        <v>30</v>
      </c>
    </row>
    <row r="57" spans="1:15" ht="12.75">
      <c r="A57" s="49">
        <v>31</v>
      </c>
      <c r="B57" s="49"/>
      <c r="C57" s="65">
        <v>639562.21</v>
      </c>
      <c r="D57" s="65">
        <v>7067602.82</v>
      </c>
      <c r="E57" s="49"/>
      <c r="F57" s="66">
        <v>200</v>
      </c>
      <c r="G57" s="67">
        <v>21</v>
      </c>
      <c r="H57" s="69">
        <f>F57*G57</f>
        <v>4200</v>
      </c>
      <c r="I57" s="70">
        <f>(H$6*H57+H$9+H$12)</f>
        <v>3558000</v>
      </c>
      <c r="L57">
        <f t="shared" si="1"/>
        <v>31</v>
      </c>
      <c r="O57" s="24">
        <f>+I57</f>
        <v>3558000</v>
      </c>
    </row>
    <row r="58" spans="1:12" ht="12.75">
      <c r="A58">
        <v>32</v>
      </c>
      <c r="C58" s="1">
        <v>640397.97</v>
      </c>
      <c r="D58" s="1">
        <v>7067626.28</v>
      </c>
      <c r="H58" s="7"/>
      <c r="I58" s="24">
        <f>$H$21</f>
        <v>95713.15</v>
      </c>
      <c r="L58">
        <f t="shared" si="1"/>
        <v>32</v>
      </c>
    </row>
    <row r="59" spans="1:12" ht="12.75">
      <c r="A59">
        <v>33</v>
      </c>
      <c r="C59" s="1">
        <v>642455.23</v>
      </c>
      <c r="D59" s="1">
        <v>7066852.2</v>
      </c>
      <c r="H59" s="7"/>
      <c r="I59" s="24">
        <f>$H$21</f>
        <v>95713.15</v>
      </c>
      <c r="L59">
        <f t="shared" si="1"/>
        <v>33</v>
      </c>
    </row>
    <row r="60" spans="1:12" ht="12.75">
      <c r="A60">
        <v>34</v>
      </c>
      <c r="C60" s="1">
        <v>643623.73</v>
      </c>
      <c r="D60" s="1">
        <v>7066077.25</v>
      </c>
      <c r="H60" s="7"/>
      <c r="I60" s="24">
        <f>$H$21</f>
        <v>95713.15</v>
      </c>
      <c r="L60">
        <f t="shared" si="1"/>
        <v>34</v>
      </c>
    </row>
    <row r="61" spans="1:14" ht="12.75">
      <c r="A61" s="50">
        <v>35</v>
      </c>
      <c r="B61" s="50" t="s">
        <v>99</v>
      </c>
      <c r="C61" s="57">
        <v>649716.98</v>
      </c>
      <c r="D61" s="57">
        <v>7060264.19</v>
      </c>
      <c r="E61" s="50">
        <v>514</v>
      </c>
      <c r="F61" s="60">
        <v>41</v>
      </c>
      <c r="G61" s="50">
        <v>21</v>
      </c>
      <c r="H61" s="60">
        <f>F61*G61</f>
        <v>861</v>
      </c>
      <c r="I61" s="52">
        <f>(H$6*H61+H$9+H$12)</f>
        <v>1254090</v>
      </c>
      <c r="K61" s="18" t="s">
        <v>191</v>
      </c>
      <c r="L61">
        <f t="shared" si="1"/>
        <v>35</v>
      </c>
      <c r="N61" s="24">
        <f>+I61</f>
        <v>1254090</v>
      </c>
    </row>
    <row r="62" spans="1:14" ht="12.75">
      <c r="A62" s="50">
        <v>36</v>
      </c>
      <c r="B62" s="50" t="s">
        <v>98</v>
      </c>
      <c r="C62" s="57">
        <v>650167.62</v>
      </c>
      <c r="D62" s="57">
        <v>7058024.72</v>
      </c>
      <c r="E62" s="50">
        <v>311</v>
      </c>
      <c r="F62" s="60">
        <v>81</v>
      </c>
      <c r="G62" s="50">
        <v>21</v>
      </c>
      <c r="H62" s="60">
        <f>F62*G62</f>
        <v>1701</v>
      </c>
      <c r="I62" s="52">
        <f>(H$6*H62+H$9+H$12)</f>
        <v>1833690</v>
      </c>
      <c r="K62" s="18" t="s">
        <v>191</v>
      </c>
      <c r="L62">
        <f t="shared" si="1"/>
        <v>36</v>
      </c>
      <c r="N62" s="24">
        <f>+I62</f>
        <v>1833690</v>
      </c>
    </row>
    <row r="63" spans="1:13" ht="12.75">
      <c r="A63" s="50">
        <v>37</v>
      </c>
      <c r="B63" s="51" t="s">
        <v>97</v>
      </c>
      <c r="C63" s="57">
        <v>658214.51</v>
      </c>
      <c r="D63" s="57">
        <v>7044528.22</v>
      </c>
      <c r="E63" s="50">
        <v>0</v>
      </c>
      <c r="F63" s="60">
        <v>1839.468</v>
      </c>
      <c r="G63" s="50">
        <v>21</v>
      </c>
      <c r="H63" s="60">
        <f>F63*G63</f>
        <v>38628.828</v>
      </c>
      <c r="I63" s="52">
        <f>(H$5*H63+H$9+H$12)</f>
        <v>27700179.6</v>
      </c>
      <c r="J63" s="24" t="s">
        <v>174</v>
      </c>
      <c r="K63" s="18" t="s">
        <v>30</v>
      </c>
      <c r="L63">
        <f t="shared" si="1"/>
        <v>37</v>
      </c>
      <c r="M63" s="24">
        <f>+I63</f>
        <v>27700179.6</v>
      </c>
    </row>
    <row r="64" spans="1:12" ht="12.75">
      <c r="A64">
        <v>38</v>
      </c>
      <c r="C64" s="1">
        <v>657941.26</v>
      </c>
      <c r="D64" s="1">
        <v>7039474.77</v>
      </c>
      <c r="H64" s="7"/>
      <c r="I64" s="24">
        <f>$H$21</f>
        <v>95713.15</v>
      </c>
      <c r="L64">
        <f t="shared" si="1"/>
        <v>38</v>
      </c>
    </row>
    <row r="65" spans="1:12" ht="12.75">
      <c r="A65">
        <v>39</v>
      </c>
      <c r="C65" s="1">
        <v>658209.21</v>
      </c>
      <c r="D65" s="1">
        <v>7038862.78</v>
      </c>
      <c r="H65" s="7"/>
      <c r="I65" s="24">
        <f>$H$21</f>
        <v>95713.15</v>
      </c>
      <c r="L65">
        <f t="shared" si="1"/>
        <v>39</v>
      </c>
    </row>
    <row r="66" spans="1:15" ht="12.75">
      <c r="A66" s="67">
        <v>40</v>
      </c>
      <c r="B66" s="67" t="s">
        <v>169</v>
      </c>
      <c r="C66" s="68">
        <v>659192.54</v>
      </c>
      <c r="D66" s="68">
        <v>7036632.3</v>
      </c>
      <c r="E66" s="67"/>
      <c r="F66" s="69">
        <v>100</v>
      </c>
      <c r="G66" s="67">
        <v>21</v>
      </c>
      <c r="H66" s="69">
        <f>F66*G66</f>
        <v>2100</v>
      </c>
      <c r="I66" s="70">
        <f>(H$6*H66+H$9+H$12)</f>
        <v>2109000</v>
      </c>
      <c r="K66" t="s">
        <v>191</v>
      </c>
      <c r="L66">
        <f t="shared" si="1"/>
        <v>40</v>
      </c>
      <c r="O66" s="24">
        <f>+I66</f>
        <v>2109000</v>
      </c>
    </row>
    <row r="67" spans="1:15" ht="12.75">
      <c r="A67" s="67">
        <v>41</v>
      </c>
      <c r="B67" s="67" t="s">
        <v>170</v>
      </c>
      <c r="C67" s="68">
        <v>659949.26</v>
      </c>
      <c r="D67" s="68">
        <v>7034912.1</v>
      </c>
      <c r="E67" s="67"/>
      <c r="F67" s="69">
        <v>150</v>
      </c>
      <c r="G67" s="67">
        <v>21</v>
      </c>
      <c r="H67" s="69">
        <f>F67*G67</f>
        <v>3150</v>
      </c>
      <c r="I67" s="70">
        <f>(H$6*H67+H$9+H$12)</f>
        <v>2833500</v>
      </c>
      <c r="K67" t="s">
        <v>191</v>
      </c>
      <c r="L67">
        <f t="shared" si="1"/>
        <v>41</v>
      </c>
      <c r="O67" s="24">
        <f>+I67</f>
        <v>2833500</v>
      </c>
    </row>
    <row r="68" spans="1:12" ht="12.75">
      <c r="A68">
        <v>42</v>
      </c>
      <c r="C68" s="1">
        <v>660667.94</v>
      </c>
      <c r="D68" s="1">
        <v>7033526.01</v>
      </c>
      <c r="H68" s="7"/>
      <c r="I68" s="24">
        <f>$H$21</f>
        <v>95713.15</v>
      </c>
      <c r="L68">
        <f t="shared" si="1"/>
        <v>42</v>
      </c>
    </row>
    <row r="69" spans="1:14" ht="12.75">
      <c r="A69" s="50">
        <v>43</v>
      </c>
      <c r="B69" s="50" t="s">
        <v>192</v>
      </c>
      <c r="C69" s="57">
        <v>662218.61</v>
      </c>
      <c r="D69" s="57">
        <v>7032706.44</v>
      </c>
      <c r="E69" s="50">
        <v>510</v>
      </c>
      <c r="F69" s="60">
        <v>67.5</v>
      </c>
      <c r="G69" s="50">
        <v>21</v>
      </c>
      <c r="H69" s="60">
        <f>F69*G69</f>
        <v>1417.5</v>
      </c>
      <c r="I69" s="52">
        <f>(H$6*H69+H$9+H$12)</f>
        <v>1638075</v>
      </c>
      <c r="K69" s="18" t="s">
        <v>191</v>
      </c>
      <c r="L69">
        <f t="shared" si="1"/>
        <v>43</v>
      </c>
      <c r="N69" s="24">
        <f>+I69</f>
        <v>1638075</v>
      </c>
    </row>
    <row r="70" spans="1:14" ht="12.75">
      <c r="A70" s="50">
        <v>44</v>
      </c>
      <c r="B70" s="50" t="s">
        <v>193</v>
      </c>
      <c r="C70" s="57">
        <v>663188.7</v>
      </c>
      <c r="D70" s="57">
        <v>7032561.21</v>
      </c>
      <c r="E70" s="50">
        <v>508</v>
      </c>
      <c r="F70" s="60">
        <v>67.5</v>
      </c>
      <c r="G70" s="50">
        <v>21</v>
      </c>
      <c r="H70" s="60">
        <f>F70*G70</f>
        <v>1417.5</v>
      </c>
      <c r="I70" s="52">
        <f>(H$6*H70+H$9+H$12)</f>
        <v>1638075</v>
      </c>
      <c r="K70" s="18" t="s">
        <v>191</v>
      </c>
      <c r="L70">
        <f t="shared" si="1"/>
        <v>44</v>
      </c>
      <c r="N70" s="24">
        <f>+I70</f>
        <v>1638075</v>
      </c>
    </row>
    <row r="71" spans="1:12" ht="12.75">
      <c r="A71">
        <v>45</v>
      </c>
      <c r="C71" s="1">
        <v>665767.35</v>
      </c>
      <c r="D71" s="1">
        <v>7033941.51</v>
      </c>
      <c r="H71" s="7"/>
      <c r="I71" s="24">
        <f>$H$21</f>
        <v>95713.15</v>
      </c>
      <c r="L71">
        <f t="shared" si="1"/>
        <v>45</v>
      </c>
    </row>
    <row r="72" spans="1:12" ht="12.75">
      <c r="A72" s="18">
        <v>46</v>
      </c>
      <c r="C72" s="1">
        <v>667705.06</v>
      </c>
      <c r="D72" s="1">
        <v>7034058.12</v>
      </c>
      <c r="H72" s="7"/>
      <c r="I72" s="24">
        <f>$H$21</f>
        <v>95713.15</v>
      </c>
      <c r="L72">
        <f t="shared" si="1"/>
        <v>46</v>
      </c>
    </row>
    <row r="73" spans="1:12" ht="12.75">
      <c r="A73">
        <v>47</v>
      </c>
      <c r="C73" s="1">
        <v>668285.63</v>
      </c>
      <c r="D73" s="1">
        <v>7033762.05</v>
      </c>
      <c r="H73" s="7"/>
      <c r="I73" s="24">
        <f>$H$21</f>
        <v>95713.15</v>
      </c>
      <c r="L73">
        <f t="shared" si="1"/>
        <v>47</v>
      </c>
    </row>
    <row r="74" spans="1:14" ht="12.75">
      <c r="A74" s="50">
        <v>48</v>
      </c>
      <c r="B74" s="50" t="s">
        <v>171</v>
      </c>
      <c r="C74" s="57">
        <v>670357.32</v>
      </c>
      <c r="D74" s="57">
        <v>7032700.15</v>
      </c>
      <c r="E74" s="50">
        <v>507</v>
      </c>
      <c r="F74" s="60">
        <v>187.7568</v>
      </c>
      <c r="G74" s="50">
        <v>21</v>
      </c>
      <c r="H74" s="60">
        <f>F74*G74</f>
        <v>3942.8928</v>
      </c>
      <c r="I74" s="52">
        <f>(H$6*H74+H$9+H$12)</f>
        <v>3380596.032</v>
      </c>
      <c r="K74" s="18" t="s">
        <v>191</v>
      </c>
      <c r="L74">
        <f t="shared" si="1"/>
        <v>48</v>
      </c>
      <c r="N74" s="24">
        <f>+I74</f>
        <v>3380596.032</v>
      </c>
    </row>
    <row r="75" spans="1:12" ht="12.75">
      <c r="A75" s="78">
        <v>49</v>
      </c>
      <c r="B75" s="78" t="s">
        <v>163</v>
      </c>
      <c r="C75" s="79">
        <v>672762.29</v>
      </c>
      <c r="D75" s="79">
        <v>7031829.3</v>
      </c>
      <c r="E75" s="5"/>
      <c r="F75" s="13"/>
      <c r="G75" s="5"/>
      <c r="H75" s="13"/>
      <c r="I75" s="24">
        <f aca="true" t="shared" si="3" ref="I75:I80">$H$21</f>
        <v>95713.15</v>
      </c>
      <c r="K75" s="56"/>
      <c r="L75">
        <f t="shared" si="1"/>
        <v>49</v>
      </c>
    </row>
    <row r="76" spans="1:12" ht="12.75">
      <c r="A76">
        <v>50</v>
      </c>
      <c r="C76" s="1">
        <v>693238.01</v>
      </c>
      <c r="D76" s="1">
        <v>7027172.33</v>
      </c>
      <c r="H76" s="7"/>
      <c r="I76" s="24">
        <f t="shared" si="3"/>
        <v>95713.15</v>
      </c>
      <c r="L76">
        <f t="shared" si="1"/>
        <v>50</v>
      </c>
    </row>
    <row r="77" spans="1:12" ht="12.75">
      <c r="A77">
        <v>51</v>
      </c>
      <c r="C77" s="1">
        <v>701554.89</v>
      </c>
      <c r="D77" s="1">
        <v>7026044.21</v>
      </c>
      <c r="H77" s="13"/>
      <c r="I77" s="24">
        <f t="shared" si="3"/>
        <v>95713.15</v>
      </c>
      <c r="L77">
        <f t="shared" si="1"/>
        <v>51</v>
      </c>
    </row>
    <row r="78" spans="1:12" ht="12.75">
      <c r="A78">
        <v>52</v>
      </c>
      <c r="C78" s="1">
        <v>702127.4</v>
      </c>
      <c r="D78" s="1">
        <v>7025920.08</v>
      </c>
      <c r="H78" s="7"/>
      <c r="I78" s="24">
        <f t="shared" si="3"/>
        <v>95713.15</v>
      </c>
      <c r="L78">
        <f t="shared" si="1"/>
        <v>52</v>
      </c>
    </row>
    <row r="79" spans="1:12" ht="12.75">
      <c r="A79">
        <v>53</v>
      </c>
      <c r="C79" s="1">
        <v>702332.86</v>
      </c>
      <c r="D79" s="1">
        <v>7025874.06</v>
      </c>
      <c r="H79" s="7"/>
      <c r="I79" s="24">
        <f t="shared" si="3"/>
        <v>95713.15</v>
      </c>
      <c r="L79">
        <f t="shared" si="1"/>
        <v>53</v>
      </c>
    </row>
    <row r="80" spans="1:12" ht="12.75">
      <c r="A80">
        <v>54</v>
      </c>
      <c r="B80" t="s">
        <v>91</v>
      </c>
      <c r="C80" s="1">
        <v>705219.37</v>
      </c>
      <c r="D80" s="1">
        <v>7025940.6</v>
      </c>
      <c r="H80" s="7"/>
      <c r="I80" s="24">
        <f t="shared" si="3"/>
        <v>95713.15</v>
      </c>
      <c r="L80">
        <f t="shared" si="1"/>
        <v>54</v>
      </c>
    </row>
    <row r="81" spans="1:14" ht="12.75">
      <c r="A81" s="50">
        <v>55</v>
      </c>
      <c r="B81" s="50" t="s">
        <v>90</v>
      </c>
      <c r="C81" s="57">
        <v>707423.58</v>
      </c>
      <c r="D81" s="57">
        <v>7026084.3</v>
      </c>
      <c r="E81" s="50">
        <v>663</v>
      </c>
      <c r="F81" s="60">
        <v>240.5</v>
      </c>
      <c r="G81" s="50">
        <v>21</v>
      </c>
      <c r="H81" s="60">
        <f>F81*G81</f>
        <v>5050.5</v>
      </c>
      <c r="I81" s="52">
        <f>(H$5*H81+H$9+H$12)</f>
        <v>4195350</v>
      </c>
      <c r="J81" s="24" t="s">
        <v>174</v>
      </c>
      <c r="K81" s="18" t="s">
        <v>191</v>
      </c>
      <c r="L81">
        <f t="shared" si="1"/>
        <v>55</v>
      </c>
      <c r="N81" s="24">
        <f>+I81</f>
        <v>4195350</v>
      </c>
    </row>
    <row r="82" spans="1:13" ht="12.75">
      <c r="A82" s="50">
        <v>56</v>
      </c>
      <c r="B82" s="50" t="s">
        <v>89</v>
      </c>
      <c r="C82" s="57">
        <v>715400.82</v>
      </c>
      <c r="D82" s="57">
        <v>7026611.15</v>
      </c>
      <c r="E82" s="50">
        <v>505</v>
      </c>
      <c r="F82" s="60">
        <v>946</v>
      </c>
      <c r="G82" s="50">
        <v>21</v>
      </c>
      <c r="H82" s="60">
        <f>F82*G82</f>
        <v>19866</v>
      </c>
      <c r="I82" s="52">
        <f>(H$5*H82+H$9+H$12)</f>
        <v>14566200</v>
      </c>
      <c r="J82" s="24" t="s">
        <v>174</v>
      </c>
      <c r="K82" s="18" t="s">
        <v>30</v>
      </c>
      <c r="L82">
        <f t="shared" si="1"/>
        <v>56</v>
      </c>
      <c r="M82" s="24">
        <f>+I82</f>
        <v>14566200</v>
      </c>
    </row>
    <row r="83" spans="1:12" ht="12.75">
      <c r="A83">
        <v>57</v>
      </c>
      <c r="C83" s="1">
        <v>718546.1</v>
      </c>
      <c r="D83" s="1">
        <v>7027266.01</v>
      </c>
      <c r="H83" s="7"/>
      <c r="I83" s="24">
        <f aca="true" t="shared" si="4" ref="I83:I94">$H$21</f>
        <v>95713.15</v>
      </c>
      <c r="L83">
        <f t="shared" si="1"/>
        <v>57</v>
      </c>
    </row>
    <row r="84" spans="1:12" ht="12.75">
      <c r="A84">
        <v>58</v>
      </c>
      <c r="C84" s="1">
        <v>723535.22</v>
      </c>
      <c r="D84" s="1">
        <v>7025292.98</v>
      </c>
      <c r="H84" s="7"/>
      <c r="I84" s="24">
        <f t="shared" si="4"/>
        <v>95713.15</v>
      </c>
      <c r="L84">
        <f t="shared" si="1"/>
        <v>58</v>
      </c>
    </row>
    <row r="85" spans="1:12" ht="12.75">
      <c r="A85">
        <v>59</v>
      </c>
      <c r="C85" s="1">
        <v>726437.19</v>
      </c>
      <c r="D85" s="1">
        <v>7023223.85</v>
      </c>
      <c r="H85" s="7"/>
      <c r="I85" s="24">
        <f t="shared" si="4"/>
        <v>95713.15</v>
      </c>
      <c r="L85">
        <f t="shared" si="1"/>
        <v>59</v>
      </c>
    </row>
    <row r="86" spans="1:12" ht="12.75">
      <c r="A86">
        <v>60</v>
      </c>
      <c r="C86" s="1">
        <v>728091.95</v>
      </c>
      <c r="D86" s="1">
        <v>7021759.91</v>
      </c>
      <c r="H86" s="7"/>
      <c r="I86" s="24">
        <f t="shared" si="4"/>
        <v>95713.15</v>
      </c>
      <c r="L86">
        <f t="shared" si="1"/>
        <v>60</v>
      </c>
    </row>
    <row r="87" spans="1:12" ht="12.75">
      <c r="A87">
        <v>61</v>
      </c>
      <c r="C87" s="1">
        <v>731411.59</v>
      </c>
      <c r="D87" s="1">
        <v>7021068.81</v>
      </c>
      <c r="H87" s="7"/>
      <c r="I87" s="24">
        <f t="shared" si="4"/>
        <v>95713.15</v>
      </c>
      <c r="L87">
        <f t="shared" si="1"/>
        <v>61</v>
      </c>
    </row>
    <row r="88" spans="1:12" ht="12.75">
      <c r="A88">
        <v>62</v>
      </c>
      <c r="C88" s="1">
        <v>734932.83</v>
      </c>
      <c r="D88" s="1">
        <v>7019793.94</v>
      </c>
      <c r="H88" s="7"/>
      <c r="I88" s="24">
        <f t="shared" si="4"/>
        <v>95713.15</v>
      </c>
      <c r="L88">
        <f t="shared" si="1"/>
        <v>62</v>
      </c>
    </row>
    <row r="89" spans="1:12" ht="12.75">
      <c r="A89">
        <v>63</v>
      </c>
      <c r="C89" s="1">
        <v>738727.61</v>
      </c>
      <c r="D89" s="1">
        <v>7019380.46</v>
      </c>
      <c r="H89" s="13"/>
      <c r="I89" s="24">
        <f t="shared" si="4"/>
        <v>95713.15</v>
      </c>
      <c r="L89">
        <f t="shared" si="1"/>
        <v>63</v>
      </c>
    </row>
    <row r="90" spans="1:12" ht="12.75">
      <c r="A90">
        <v>64</v>
      </c>
      <c r="C90" s="1">
        <v>739625.52</v>
      </c>
      <c r="D90" s="1">
        <v>7018735.8</v>
      </c>
      <c r="H90" s="64"/>
      <c r="I90" s="24">
        <f t="shared" si="4"/>
        <v>95713.15</v>
      </c>
      <c r="J90" s="18"/>
      <c r="K90" s="18"/>
      <c r="L90">
        <f t="shared" si="1"/>
        <v>64</v>
      </c>
    </row>
    <row r="91" spans="1:12" ht="12.75">
      <c r="A91">
        <v>65</v>
      </c>
      <c r="C91" s="1">
        <v>739779.01</v>
      </c>
      <c r="D91" s="1">
        <v>7018483.86</v>
      </c>
      <c r="H91" s="64"/>
      <c r="I91" s="24">
        <f t="shared" si="4"/>
        <v>95713.15</v>
      </c>
      <c r="J91" s="18"/>
      <c r="K91" s="18"/>
      <c r="L91">
        <f t="shared" si="1"/>
        <v>65</v>
      </c>
    </row>
    <row r="92" spans="1:12" ht="12.75">
      <c r="A92">
        <v>66</v>
      </c>
      <c r="C92" s="1">
        <v>741333.3</v>
      </c>
      <c r="D92" s="1">
        <v>7016549.78</v>
      </c>
      <c r="H92" s="7"/>
      <c r="I92" s="24">
        <f t="shared" si="4"/>
        <v>95713.15</v>
      </c>
      <c r="L92">
        <f t="shared" si="1"/>
        <v>66</v>
      </c>
    </row>
    <row r="93" spans="1:12" ht="12.75">
      <c r="A93">
        <v>67</v>
      </c>
      <c r="C93" s="1">
        <v>743719.58</v>
      </c>
      <c r="D93" s="1">
        <v>7014476.26</v>
      </c>
      <c r="H93" s="7"/>
      <c r="I93" s="24">
        <f t="shared" si="4"/>
        <v>95713.15</v>
      </c>
      <c r="L93">
        <f aca="true" t="shared" si="5" ref="L93:L120">+L92+1</f>
        <v>67</v>
      </c>
    </row>
    <row r="94" spans="1:12" ht="12.75">
      <c r="A94">
        <v>68</v>
      </c>
      <c r="C94" s="1">
        <v>745996.74</v>
      </c>
      <c r="D94" s="1">
        <v>7013174.65</v>
      </c>
      <c r="H94" s="7"/>
      <c r="I94" s="24">
        <f t="shared" si="4"/>
        <v>95713.15</v>
      </c>
      <c r="L94">
        <f t="shared" si="5"/>
        <v>68</v>
      </c>
    </row>
    <row r="95" spans="1:15" ht="12.75">
      <c r="A95" s="67">
        <v>69</v>
      </c>
      <c r="B95" s="67" t="s">
        <v>88</v>
      </c>
      <c r="C95" s="68">
        <v>746924</v>
      </c>
      <c r="D95" s="68">
        <v>7012250.66</v>
      </c>
      <c r="E95" s="67"/>
      <c r="F95" s="69">
        <v>100</v>
      </c>
      <c r="G95" s="67">
        <v>21</v>
      </c>
      <c r="H95" s="69">
        <f>F95*G95</f>
        <v>2100</v>
      </c>
      <c r="I95" s="70">
        <f>(H$6*H95+H$9+H$12)</f>
        <v>2109000</v>
      </c>
      <c r="L95">
        <f t="shared" si="5"/>
        <v>69</v>
      </c>
      <c r="O95" s="24">
        <f>+I95</f>
        <v>2109000</v>
      </c>
    </row>
    <row r="96" spans="1:12" ht="12.75">
      <c r="A96">
        <v>70</v>
      </c>
      <c r="C96" s="1">
        <v>748306.09</v>
      </c>
      <c r="D96" s="1">
        <v>7008345.33</v>
      </c>
      <c r="H96" s="7"/>
      <c r="I96" s="24">
        <f>$H$21</f>
        <v>95713.15</v>
      </c>
      <c r="L96">
        <f t="shared" si="5"/>
        <v>70</v>
      </c>
    </row>
    <row r="97" spans="1:12" ht="12.75">
      <c r="A97">
        <v>71</v>
      </c>
      <c r="C97" s="1">
        <v>751201.83</v>
      </c>
      <c r="D97" s="1">
        <v>7007041.58</v>
      </c>
      <c r="H97" s="7"/>
      <c r="I97" s="24">
        <f>$H$21</f>
        <v>95713.15</v>
      </c>
      <c r="L97">
        <f t="shared" si="5"/>
        <v>71</v>
      </c>
    </row>
    <row r="98" spans="1:12" ht="12.75">
      <c r="A98">
        <v>72</v>
      </c>
      <c r="C98" s="1">
        <v>753852.93</v>
      </c>
      <c r="D98" s="1">
        <v>7005047.97</v>
      </c>
      <c r="H98" s="7"/>
      <c r="I98" s="24">
        <f>$H$21</f>
        <v>95713.15</v>
      </c>
      <c r="L98">
        <f t="shared" si="5"/>
        <v>72</v>
      </c>
    </row>
    <row r="99" spans="1:12" ht="12.75">
      <c r="A99">
        <v>73</v>
      </c>
      <c r="C99" s="1">
        <v>754600.89</v>
      </c>
      <c r="D99" s="1">
        <v>7003871.35</v>
      </c>
      <c r="H99" s="7"/>
      <c r="I99" s="24">
        <f>$H$21</f>
        <v>95713.15</v>
      </c>
      <c r="L99">
        <f t="shared" si="5"/>
        <v>73</v>
      </c>
    </row>
    <row r="100" spans="1:12" ht="12.75">
      <c r="A100">
        <v>74</v>
      </c>
      <c r="C100" s="1">
        <v>756959.31</v>
      </c>
      <c r="D100" s="1">
        <v>7002912.75</v>
      </c>
      <c r="H100" s="7"/>
      <c r="I100" s="24">
        <f>$H$21</f>
        <v>95713.15</v>
      </c>
      <c r="L100">
        <f t="shared" si="5"/>
        <v>74</v>
      </c>
    </row>
    <row r="101" spans="1:14" ht="12.75">
      <c r="A101" s="50">
        <v>75</v>
      </c>
      <c r="B101" s="50" t="s">
        <v>87</v>
      </c>
      <c r="C101" s="57">
        <v>760292.59</v>
      </c>
      <c r="D101" s="57">
        <v>7002413.13</v>
      </c>
      <c r="E101" s="50">
        <v>504</v>
      </c>
      <c r="F101" s="60">
        <v>79.75</v>
      </c>
      <c r="G101" s="50">
        <v>21</v>
      </c>
      <c r="H101" s="60">
        <f>F101*G101</f>
        <v>1674.75</v>
      </c>
      <c r="I101" s="52">
        <f>(H$6*H101+H$9+H$12)</f>
        <v>1815577.5</v>
      </c>
      <c r="K101" s="18" t="s">
        <v>191</v>
      </c>
      <c r="L101">
        <f t="shared" si="5"/>
        <v>75</v>
      </c>
      <c r="N101" s="24">
        <f>+I101</f>
        <v>1815577.5</v>
      </c>
    </row>
    <row r="102" spans="1:12" ht="12.75">
      <c r="A102">
        <v>76</v>
      </c>
      <c r="C102" s="1">
        <v>762386.42</v>
      </c>
      <c r="D102" s="1">
        <v>7000455.29</v>
      </c>
      <c r="H102" s="7"/>
      <c r="I102" s="24">
        <f>$H$21</f>
        <v>95713.15</v>
      </c>
      <c r="L102">
        <f t="shared" si="5"/>
        <v>76</v>
      </c>
    </row>
    <row r="103" spans="1:12" ht="12.75">
      <c r="A103">
        <v>77</v>
      </c>
      <c r="C103" s="1">
        <v>762140.31</v>
      </c>
      <c r="D103" s="1">
        <v>6999555.08</v>
      </c>
      <c r="H103" s="7"/>
      <c r="I103" s="24">
        <f>$H$21</f>
        <v>95713.15</v>
      </c>
      <c r="L103">
        <f t="shared" si="5"/>
        <v>77</v>
      </c>
    </row>
    <row r="104" spans="1:12" ht="12.75">
      <c r="A104">
        <v>78</v>
      </c>
      <c r="C104" s="1">
        <v>765862.34</v>
      </c>
      <c r="D104" s="1">
        <v>6997026.52</v>
      </c>
      <c r="H104" s="7"/>
      <c r="I104" s="24">
        <f>$H$21</f>
        <v>95713.15</v>
      </c>
      <c r="L104">
        <f t="shared" si="5"/>
        <v>78</v>
      </c>
    </row>
    <row r="105" spans="1:15" ht="12.75">
      <c r="A105" s="49">
        <v>79</v>
      </c>
      <c r="B105" s="49" t="s">
        <v>86</v>
      </c>
      <c r="C105" s="65">
        <v>770091.05</v>
      </c>
      <c r="D105" s="65">
        <v>6994199.81</v>
      </c>
      <c r="E105" s="49"/>
      <c r="F105" s="66">
        <v>100</v>
      </c>
      <c r="G105" s="67">
        <v>21</v>
      </c>
      <c r="H105" s="69">
        <f>F105*G105</f>
        <v>2100</v>
      </c>
      <c r="I105" s="70">
        <f>(H$6*H105+H$9+H$12)</f>
        <v>2109000</v>
      </c>
      <c r="K105" s="18"/>
      <c r="L105">
        <f t="shared" si="5"/>
        <v>79</v>
      </c>
      <c r="O105" s="24">
        <f>+I105</f>
        <v>2109000</v>
      </c>
    </row>
    <row r="106" spans="1:12" ht="12.75">
      <c r="A106">
        <v>80</v>
      </c>
      <c r="C106" s="1">
        <v>771214.49</v>
      </c>
      <c r="D106" s="1">
        <v>6993359.29</v>
      </c>
      <c r="H106" s="7"/>
      <c r="I106" s="24">
        <f>$H$21</f>
        <v>95713.15</v>
      </c>
      <c r="K106" s="18"/>
      <c r="L106">
        <f t="shared" si="5"/>
        <v>80</v>
      </c>
    </row>
    <row r="107" spans="1:12" ht="12.75">
      <c r="A107">
        <v>81</v>
      </c>
      <c r="C107" s="1">
        <v>771852.91</v>
      </c>
      <c r="D107" s="1">
        <v>6992498.98</v>
      </c>
      <c r="H107" s="7"/>
      <c r="I107" s="24">
        <f>$H$21</f>
        <v>95713.15</v>
      </c>
      <c r="K107" s="18"/>
      <c r="L107">
        <f t="shared" si="5"/>
        <v>81</v>
      </c>
    </row>
    <row r="108" spans="1:12" ht="12.75">
      <c r="A108">
        <v>82</v>
      </c>
      <c r="C108" s="1">
        <v>773784.69</v>
      </c>
      <c r="D108" s="1">
        <v>6990756.09</v>
      </c>
      <c r="H108" s="7"/>
      <c r="I108" s="24">
        <f>$H$21</f>
        <v>95713.15</v>
      </c>
      <c r="K108" s="18"/>
      <c r="L108">
        <f t="shared" si="5"/>
        <v>82</v>
      </c>
    </row>
    <row r="109" spans="1:15" ht="12.75">
      <c r="A109" s="49">
        <v>83</v>
      </c>
      <c r="B109" s="49" t="s">
        <v>172</v>
      </c>
      <c r="C109" s="65">
        <v>776257.5</v>
      </c>
      <c r="D109" s="65">
        <v>6988702.64</v>
      </c>
      <c r="E109" s="49"/>
      <c r="F109" s="66">
        <v>100</v>
      </c>
      <c r="G109" s="67">
        <v>21</v>
      </c>
      <c r="H109" s="69">
        <f>F109*G109</f>
        <v>2100</v>
      </c>
      <c r="I109" s="70">
        <f>(H$6*H109+H$9+H$12)</f>
        <v>2109000</v>
      </c>
      <c r="K109" s="18"/>
      <c r="L109">
        <f t="shared" si="5"/>
        <v>83</v>
      </c>
      <c r="O109" s="24">
        <f>+I109</f>
        <v>2109000</v>
      </c>
    </row>
    <row r="110" spans="1:14" ht="12.75">
      <c r="A110" s="50">
        <v>84</v>
      </c>
      <c r="B110" s="51" t="s">
        <v>84</v>
      </c>
      <c r="C110" s="57">
        <v>781704.86</v>
      </c>
      <c r="D110" s="57">
        <v>6981636.91</v>
      </c>
      <c r="E110" s="50">
        <v>0</v>
      </c>
      <c r="F110" s="60">
        <v>110.6424</v>
      </c>
      <c r="G110" s="50">
        <v>21</v>
      </c>
      <c r="H110" s="60">
        <f>F110*G110</f>
        <v>2323.4903999999997</v>
      </c>
      <c r="I110" s="52">
        <f>(H$6*H110+H$9+H$12)</f>
        <v>2263208.3759999997</v>
      </c>
      <c r="K110" s="18" t="s">
        <v>191</v>
      </c>
      <c r="L110">
        <f t="shared" si="5"/>
        <v>84</v>
      </c>
      <c r="N110" s="24">
        <f>+I110</f>
        <v>2263208.3759999997</v>
      </c>
    </row>
    <row r="111" spans="1:12" ht="12.75">
      <c r="A111">
        <v>85</v>
      </c>
      <c r="C111" s="1">
        <v>788830.14</v>
      </c>
      <c r="D111" s="1">
        <v>6977309.74</v>
      </c>
      <c r="H111" s="7"/>
      <c r="I111" s="24">
        <f>$H$21</f>
        <v>95713.15</v>
      </c>
      <c r="K111" s="18"/>
      <c r="L111">
        <f t="shared" si="5"/>
        <v>85</v>
      </c>
    </row>
    <row r="112" spans="1:12" ht="12.75">
      <c r="A112">
        <v>86</v>
      </c>
      <c r="C112" s="1">
        <v>789514.21</v>
      </c>
      <c r="D112" s="1">
        <v>6976979.79</v>
      </c>
      <c r="H112" s="7"/>
      <c r="I112" s="24">
        <f>$H$21</f>
        <v>95713.15</v>
      </c>
      <c r="K112" s="18"/>
      <c r="L112">
        <f t="shared" si="5"/>
        <v>86</v>
      </c>
    </row>
    <row r="113" spans="1:12" ht="12.75">
      <c r="A113">
        <v>87</v>
      </c>
      <c r="C113" s="1">
        <v>793880.9</v>
      </c>
      <c r="D113" s="1">
        <v>6971172.45</v>
      </c>
      <c r="H113" s="7"/>
      <c r="I113" s="24">
        <f>$H$21</f>
        <v>95713.15</v>
      </c>
      <c r="K113" s="18"/>
      <c r="L113">
        <f t="shared" si="5"/>
        <v>87</v>
      </c>
    </row>
    <row r="114" spans="1:15" ht="12.75">
      <c r="A114" s="49">
        <v>88</v>
      </c>
      <c r="B114" s="49" t="s">
        <v>83</v>
      </c>
      <c r="C114" s="65">
        <v>794321.59</v>
      </c>
      <c r="D114" s="65">
        <v>6969002.56</v>
      </c>
      <c r="E114" s="49"/>
      <c r="F114" s="66">
        <v>100</v>
      </c>
      <c r="G114" s="67">
        <v>21</v>
      </c>
      <c r="H114" s="69">
        <f>F114*G114</f>
        <v>2100</v>
      </c>
      <c r="I114" s="70">
        <f>(H$6*H114+H$9+H$12)</f>
        <v>2109000</v>
      </c>
      <c r="K114" s="18"/>
      <c r="L114">
        <f t="shared" si="5"/>
        <v>88</v>
      </c>
      <c r="O114" s="24">
        <f>+I114</f>
        <v>2109000</v>
      </c>
    </row>
    <row r="115" spans="1:12" ht="12.75">
      <c r="A115">
        <v>89</v>
      </c>
      <c r="C115" s="1">
        <v>796635.01</v>
      </c>
      <c r="D115" s="1">
        <v>6968367.97</v>
      </c>
      <c r="H115" s="7"/>
      <c r="I115" s="24">
        <f>$H$21</f>
        <v>95713.15</v>
      </c>
      <c r="K115" s="18"/>
      <c r="L115">
        <f t="shared" si="5"/>
        <v>89</v>
      </c>
    </row>
    <row r="116" spans="1:12" ht="12.75">
      <c r="A116">
        <v>90</v>
      </c>
      <c r="C116" s="1">
        <v>798117.81</v>
      </c>
      <c r="D116" s="1">
        <v>6967851.5</v>
      </c>
      <c r="H116" s="64"/>
      <c r="I116" s="24">
        <f>$H$21</f>
        <v>95713.15</v>
      </c>
      <c r="K116" s="18"/>
      <c r="L116">
        <f t="shared" si="5"/>
        <v>90</v>
      </c>
    </row>
    <row r="117" spans="1:12" ht="12.75">
      <c r="A117">
        <v>91</v>
      </c>
      <c r="C117" s="1">
        <v>798643.07</v>
      </c>
      <c r="D117" s="1">
        <v>6967434.31</v>
      </c>
      <c r="H117" s="64"/>
      <c r="I117" s="24">
        <f>$H$21</f>
        <v>95713.15</v>
      </c>
      <c r="K117" s="18"/>
      <c r="L117">
        <f t="shared" si="5"/>
        <v>91</v>
      </c>
    </row>
    <row r="118" spans="1:12" ht="12.75">
      <c r="A118">
        <v>92</v>
      </c>
      <c r="C118" s="1">
        <v>799079.87</v>
      </c>
      <c r="D118" s="1">
        <v>6966655.49</v>
      </c>
      <c r="H118" s="7"/>
      <c r="I118" s="24">
        <f>$H$21</f>
        <v>95713.15</v>
      </c>
      <c r="L118">
        <f t="shared" si="5"/>
        <v>92</v>
      </c>
    </row>
    <row r="119" spans="1:12" ht="12.75">
      <c r="A119" s="31">
        <v>93</v>
      </c>
      <c r="B119" s="31"/>
      <c r="C119" s="71">
        <v>799916.25</v>
      </c>
      <c r="D119" s="71">
        <v>6965630.17</v>
      </c>
      <c r="E119" s="31"/>
      <c r="F119" s="61"/>
      <c r="G119" s="31"/>
      <c r="H119" s="61"/>
      <c r="I119" s="24">
        <f>$H$21</f>
        <v>95713.15</v>
      </c>
      <c r="L119">
        <f t="shared" si="5"/>
        <v>93</v>
      </c>
    </row>
    <row r="120" spans="1:15" ht="13.5" thickBot="1">
      <c r="A120" s="72">
        <v>94</v>
      </c>
      <c r="B120" s="72" t="s">
        <v>173</v>
      </c>
      <c r="C120" s="73">
        <v>804552.28</v>
      </c>
      <c r="D120" s="73">
        <v>6963094.85</v>
      </c>
      <c r="E120" s="72"/>
      <c r="F120" s="74">
        <v>100</v>
      </c>
      <c r="G120" s="75">
        <v>21</v>
      </c>
      <c r="H120" s="76">
        <f>F120*G120</f>
        <v>2100</v>
      </c>
      <c r="I120" s="77">
        <f>(H$6*H120+H$9+H$12)</f>
        <v>2109000</v>
      </c>
      <c r="L120">
        <f t="shared" si="5"/>
        <v>94</v>
      </c>
      <c r="O120" s="24">
        <f>+I120</f>
        <v>2109000</v>
      </c>
    </row>
    <row r="121" spans="1:16" ht="12.75">
      <c r="A121" s="41" t="s">
        <v>137</v>
      </c>
      <c r="B121" s="42"/>
      <c r="C121" s="43"/>
      <c r="D121" s="41"/>
      <c r="E121" s="41"/>
      <c r="F121" s="63"/>
      <c r="G121" s="41"/>
      <c r="H121" s="63"/>
      <c r="I121" s="44">
        <f>SUM(I27:I120)</f>
        <v>142899368.22800022</v>
      </c>
      <c r="J121" s="24"/>
      <c r="M121" s="44">
        <f>SUM(M27:M120)</f>
        <v>78130857.12</v>
      </c>
      <c r="N121" s="44">
        <f>SUM(N27:N120)</f>
        <v>36381016.90800001</v>
      </c>
      <c r="O121" s="44">
        <f>SUM(O27:O120)</f>
        <v>21879000</v>
      </c>
      <c r="P121" s="24">
        <f>+I121-M121-N121-O121</f>
        <v>6508494.200000212</v>
      </c>
    </row>
    <row r="122" spans="1:10" ht="12.75">
      <c r="A122" s="5"/>
      <c r="B122" s="22"/>
      <c r="I122" s="24"/>
      <c r="J122" s="24"/>
    </row>
    <row r="123" spans="2:10" ht="12.75">
      <c r="B123" s="22" t="str">
        <f>'[1]AK Hwy Bridges'!B94</f>
        <v>Data obtained from the National Data Base (identifed by crossing name, no long, lat)</v>
      </c>
      <c r="I123" s="24"/>
      <c r="J123" s="24"/>
    </row>
    <row r="124" spans="2:10" ht="12.75">
      <c r="B124" s="22" t="str">
        <f>'[1]AK Hwy Bridges'!B95</f>
        <v>multiple crossings with this stream or river.  This needs to be checked for the correct one.</v>
      </c>
      <c r="I124" s="24"/>
      <c r="J124" s="24"/>
    </row>
    <row r="125" spans="2:10" ht="12.75">
      <c r="B125" s="22" t="str">
        <f>'[1]AK Hwy Bridges'!B96</f>
        <v>Information provided by Dr. Metz student (no cross reference information data)</v>
      </c>
      <c r="I125" s="24"/>
      <c r="J125" s="24"/>
    </row>
    <row r="126" spans="2:10" ht="12.75">
      <c r="B126" s="22"/>
      <c r="I126" s="24"/>
      <c r="J126" s="24"/>
    </row>
  </sheetData>
  <mergeCells count="1">
    <mergeCell ref="A2:B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6"/>
  <sheetViews>
    <sheetView workbookViewId="0" topLeftCell="A1">
      <selection activeCell="I83" sqref="I83"/>
    </sheetView>
  </sheetViews>
  <sheetFormatPr defaultColWidth="9.140625" defaultRowHeight="12.75"/>
  <cols>
    <col min="2" max="2" width="32.28125" style="0" customWidth="1"/>
    <col min="3" max="3" width="11.8515625" style="0" customWidth="1"/>
    <col min="8" max="8" width="11.57421875" style="0" customWidth="1"/>
  </cols>
  <sheetData>
    <row r="2" spans="1:9" ht="12.75">
      <c r="A2" s="5" t="s">
        <v>73</v>
      </c>
      <c r="B2" s="5" t="s">
        <v>74</v>
      </c>
      <c r="C2" s="5" t="s">
        <v>75</v>
      </c>
      <c r="D2" s="5" t="s">
        <v>76</v>
      </c>
      <c r="E2" s="5" t="s">
        <v>77</v>
      </c>
      <c r="F2" s="5" t="s">
        <v>78</v>
      </c>
      <c r="G2" s="5" t="s">
        <v>79</v>
      </c>
      <c r="H2" s="5" t="s">
        <v>80</v>
      </c>
      <c r="I2" s="5" t="s">
        <v>81</v>
      </c>
    </row>
    <row r="3" spans="1:9" ht="12.75">
      <c r="A3" s="16">
        <v>1</v>
      </c>
      <c r="B3" s="16" t="s">
        <v>82</v>
      </c>
      <c r="C3" s="16"/>
      <c r="D3" s="16"/>
      <c r="E3" s="16">
        <v>502</v>
      </c>
      <c r="F3" s="16"/>
      <c r="G3" s="16"/>
      <c r="H3" s="16">
        <f>F3*G3</f>
        <v>0</v>
      </c>
      <c r="I3" s="16"/>
    </row>
    <row r="4" spans="1:8" ht="12.75">
      <c r="A4">
        <f>A3+1</f>
        <v>2</v>
      </c>
      <c r="H4">
        <f aca="true" t="shared" si="0" ref="H4:H67">F4*G4</f>
        <v>0</v>
      </c>
    </row>
    <row r="5" spans="1:8" ht="12.75">
      <c r="A5">
        <f aca="true" t="shared" si="1" ref="A5:A68">A4+1</f>
        <v>3</v>
      </c>
      <c r="H5">
        <f t="shared" si="0"/>
        <v>0</v>
      </c>
    </row>
    <row r="6" spans="1:8" ht="12.75">
      <c r="A6">
        <f t="shared" si="1"/>
        <v>4</v>
      </c>
      <c r="H6">
        <f t="shared" si="0"/>
        <v>0</v>
      </c>
    </row>
    <row r="7" spans="1:8" ht="12.75">
      <c r="A7">
        <f t="shared" si="1"/>
        <v>5</v>
      </c>
      <c r="H7">
        <f t="shared" si="0"/>
        <v>0</v>
      </c>
    </row>
    <row r="8" spans="1:8" ht="12.75">
      <c r="A8">
        <f t="shared" si="1"/>
        <v>6</v>
      </c>
      <c r="H8">
        <f t="shared" si="0"/>
        <v>0</v>
      </c>
    </row>
    <row r="9" spans="1:9" ht="12.75">
      <c r="A9" s="16">
        <f t="shared" si="1"/>
        <v>7</v>
      </c>
      <c r="B9" s="16" t="s">
        <v>83</v>
      </c>
      <c r="C9" s="16"/>
      <c r="D9" s="16"/>
      <c r="E9" s="16"/>
      <c r="F9" s="16"/>
      <c r="G9" s="16"/>
      <c r="H9" s="16">
        <f t="shared" si="0"/>
        <v>0</v>
      </c>
      <c r="I9" s="16"/>
    </row>
    <row r="10" spans="1:8" ht="12.75">
      <c r="A10">
        <f t="shared" si="1"/>
        <v>8</v>
      </c>
      <c r="H10">
        <f t="shared" si="0"/>
        <v>0</v>
      </c>
    </row>
    <row r="11" spans="1:8" ht="12.75">
      <c r="A11">
        <f t="shared" si="1"/>
        <v>9</v>
      </c>
      <c r="H11">
        <f t="shared" si="0"/>
        <v>0</v>
      </c>
    </row>
    <row r="12" spans="1:8" ht="12.75">
      <c r="A12">
        <f t="shared" si="1"/>
        <v>10</v>
      </c>
      <c r="H12">
        <f>F13*G12</f>
        <v>0</v>
      </c>
    </row>
    <row r="13" spans="1:9" ht="12.75">
      <c r="A13" s="17">
        <f t="shared" si="1"/>
        <v>11</v>
      </c>
      <c r="B13" s="17" t="s">
        <v>84</v>
      </c>
      <c r="C13" s="17"/>
      <c r="D13" s="17"/>
      <c r="E13" s="17"/>
      <c r="F13" s="17">
        <f>36.3*(2.54*12/10)</f>
        <v>110.6424</v>
      </c>
      <c r="G13" s="17"/>
      <c r="H13" s="17">
        <f t="shared" si="0"/>
        <v>0</v>
      </c>
      <c r="I13" s="17"/>
    </row>
    <row r="14" spans="1:9" ht="12.75">
      <c r="A14" s="16">
        <f t="shared" si="1"/>
        <v>12</v>
      </c>
      <c r="B14" s="16" t="s">
        <v>85</v>
      </c>
      <c r="C14" s="16"/>
      <c r="D14" s="16"/>
      <c r="E14" s="16"/>
      <c r="F14" s="16"/>
      <c r="G14" s="16"/>
      <c r="H14" s="16">
        <f t="shared" si="0"/>
        <v>0</v>
      </c>
      <c r="I14" s="16"/>
    </row>
    <row r="15" spans="1:8" ht="12.75">
      <c r="A15">
        <f t="shared" si="1"/>
        <v>13</v>
      </c>
      <c r="H15">
        <f t="shared" si="0"/>
        <v>0</v>
      </c>
    </row>
    <row r="16" spans="1:8" ht="12.75">
      <c r="A16">
        <f t="shared" si="1"/>
        <v>14</v>
      </c>
      <c r="H16">
        <f t="shared" si="0"/>
        <v>0</v>
      </c>
    </row>
    <row r="17" spans="1:8" ht="12.75">
      <c r="A17">
        <f t="shared" si="1"/>
        <v>15</v>
      </c>
      <c r="H17">
        <f t="shared" si="0"/>
        <v>0</v>
      </c>
    </row>
    <row r="18" spans="1:9" ht="12.75">
      <c r="A18" s="16">
        <f t="shared" si="1"/>
        <v>16</v>
      </c>
      <c r="B18" s="16" t="s">
        <v>86</v>
      </c>
      <c r="C18" s="16"/>
      <c r="D18" s="16"/>
      <c r="E18" s="16"/>
      <c r="F18" s="16"/>
      <c r="G18" s="16"/>
      <c r="H18" s="16">
        <f t="shared" si="0"/>
        <v>0</v>
      </c>
      <c r="I18" s="16"/>
    </row>
    <row r="19" spans="1:8" ht="12.75">
      <c r="A19">
        <f t="shared" si="1"/>
        <v>17</v>
      </c>
      <c r="H19">
        <f t="shared" si="0"/>
        <v>0</v>
      </c>
    </row>
    <row r="20" spans="1:8" ht="12.75">
      <c r="A20">
        <f t="shared" si="1"/>
        <v>18</v>
      </c>
      <c r="H20">
        <f t="shared" si="0"/>
        <v>0</v>
      </c>
    </row>
    <row r="21" spans="1:8" ht="12.75">
      <c r="A21">
        <f t="shared" si="1"/>
        <v>19</v>
      </c>
      <c r="H21">
        <f t="shared" si="0"/>
        <v>0</v>
      </c>
    </row>
    <row r="22" spans="1:9" ht="12.75">
      <c r="A22">
        <f t="shared" si="1"/>
        <v>20</v>
      </c>
      <c r="B22" t="s">
        <v>87</v>
      </c>
      <c r="C22">
        <v>63031</v>
      </c>
      <c r="D22">
        <v>141509</v>
      </c>
      <c r="E22">
        <v>504</v>
      </c>
      <c r="F22">
        <v>79.75</v>
      </c>
      <c r="G22">
        <v>37</v>
      </c>
      <c r="H22">
        <f t="shared" si="0"/>
        <v>2950.75</v>
      </c>
      <c r="I22">
        <v>83</v>
      </c>
    </row>
    <row r="23" spans="1:8" ht="12.75">
      <c r="A23">
        <f t="shared" si="1"/>
        <v>21</v>
      </c>
      <c r="H23">
        <f t="shared" si="0"/>
        <v>0</v>
      </c>
    </row>
    <row r="24" spans="1:8" ht="12.75">
      <c r="A24">
        <f t="shared" si="1"/>
        <v>22</v>
      </c>
      <c r="H24">
        <f t="shared" si="0"/>
        <v>0</v>
      </c>
    </row>
    <row r="25" spans="1:8" ht="12.75">
      <c r="A25">
        <f t="shared" si="1"/>
        <v>23</v>
      </c>
      <c r="H25">
        <f t="shared" si="0"/>
        <v>0</v>
      </c>
    </row>
    <row r="26" spans="1:8" ht="12.75">
      <c r="A26">
        <f t="shared" si="1"/>
        <v>24</v>
      </c>
      <c r="H26">
        <f t="shared" si="0"/>
        <v>0</v>
      </c>
    </row>
    <row r="27" spans="1:8" ht="12.75">
      <c r="A27">
        <f t="shared" si="1"/>
        <v>25</v>
      </c>
      <c r="H27">
        <f t="shared" si="0"/>
        <v>0</v>
      </c>
    </row>
    <row r="28" spans="1:9" ht="12.75">
      <c r="A28" s="16">
        <f t="shared" si="1"/>
        <v>26</v>
      </c>
      <c r="B28" s="16" t="s">
        <v>88</v>
      </c>
      <c r="C28" s="16"/>
      <c r="D28" s="16"/>
      <c r="E28" s="16"/>
      <c r="F28" s="16"/>
      <c r="G28" s="16"/>
      <c r="H28" s="16">
        <f t="shared" si="0"/>
        <v>0</v>
      </c>
      <c r="I28" s="16"/>
    </row>
    <row r="29" spans="1:8" ht="12.75">
      <c r="A29">
        <f t="shared" si="1"/>
        <v>27</v>
      </c>
      <c r="H29">
        <f t="shared" si="0"/>
        <v>0</v>
      </c>
    </row>
    <row r="30" spans="1:8" ht="12.75">
      <c r="A30">
        <f t="shared" si="1"/>
        <v>28</v>
      </c>
      <c r="H30">
        <f t="shared" si="0"/>
        <v>0</v>
      </c>
    </row>
    <row r="31" spans="1:8" ht="12.75">
      <c r="A31">
        <f t="shared" si="1"/>
        <v>29</v>
      </c>
      <c r="H31">
        <f t="shared" si="0"/>
        <v>0</v>
      </c>
    </row>
    <row r="32" spans="1:8" ht="12.75">
      <c r="A32">
        <f t="shared" si="1"/>
        <v>30</v>
      </c>
      <c r="H32">
        <f t="shared" si="0"/>
        <v>0</v>
      </c>
    </row>
    <row r="33" spans="1:8" ht="12.75">
      <c r="A33">
        <f t="shared" si="1"/>
        <v>31</v>
      </c>
      <c r="H33">
        <f t="shared" si="0"/>
        <v>0</v>
      </c>
    </row>
    <row r="34" spans="1:8" ht="12.75">
      <c r="A34">
        <f t="shared" si="1"/>
        <v>32</v>
      </c>
      <c r="H34">
        <f t="shared" si="0"/>
        <v>0</v>
      </c>
    </row>
    <row r="35" spans="1:9" ht="12.75">
      <c r="A35" s="18">
        <f t="shared" si="1"/>
        <v>33</v>
      </c>
      <c r="B35" s="18"/>
      <c r="C35" s="18"/>
      <c r="D35" s="18"/>
      <c r="E35" s="18"/>
      <c r="F35" s="18"/>
      <c r="G35" s="18"/>
      <c r="H35" s="18"/>
      <c r="I35" s="18"/>
    </row>
    <row r="36" spans="1:8" ht="12.75">
      <c r="A36">
        <f t="shared" si="1"/>
        <v>34</v>
      </c>
      <c r="H36">
        <f t="shared" si="0"/>
        <v>0</v>
      </c>
    </row>
    <row r="37" spans="1:8" ht="12.75">
      <c r="A37">
        <f t="shared" si="1"/>
        <v>35</v>
      </c>
      <c r="H37">
        <f t="shared" si="0"/>
        <v>0</v>
      </c>
    </row>
    <row r="38" spans="1:8" ht="12.75">
      <c r="A38">
        <f t="shared" si="1"/>
        <v>36</v>
      </c>
      <c r="H38">
        <f t="shared" si="0"/>
        <v>0</v>
      </c>
    </row>
    <row r="39" spans="1:8" ht="12.75">
      <c r="A39">
        <f t="shared" si="1"/>
        <v>37</v>
      </c>
      <c r="H39">
        <f t="shared" si="0"/>
        <v>0</v>
      </c>
    </row>
    <row r="40" spans="1:9" ht="12.75">
      <c r="A40" s="19">
        <f t="shared" si="1"/>
        <v>38</v>
      </c>
      <c r="B40" s="19" t="s">
        <v>89</v>
      </c>
      <c r="C40" s="19">
        <v>63191</v>
      </c>
      <c r="D40" s="19">
        <v>142387</v>
      </c>
      <c r="E40" s="19">
        <v>505</v>
      </c>
      <c r="F40" s="19">
        <v>946</v>
      </c>
      <c r="G40" s="19">
        <v>36</v>
      </c>
      <c r="H40" s="19">
        <f>F40*G40</f>
        <v>34056</v>
      </c>
      <c r="I40" s="19">
        <v>332</v>
      </c>
    </row>
    <row r="41" spans="1:9" ht="12.75">
      <c r="A41">
        <f t="shared" si="1"/>
        <v>39</v>
      </c>
      <c r="B41" t="s">
        <v>90</v>
      </c>
      <c r="C41">
        <v>63026</v>
      </c>
      <c r="D41">
        <v>143220</v>
      </c>
      <c r="E41">
        <v>663</v>
      </c>
      <c r="F41">
        <v>240.5</v>
      </c>
      <c r="G41">
        <v>33</v>
      </c>
      <c r="H41">
        <f t="shared" si="0"/>
        <v>7936.5</v>
      </c>
      <c r="I41">
        <v>481</v>
      </c>
    </row>
    <row r="42" spans="1:9" ht="12.75">
      <c r="A42" s="16">
        <f t="shared" si="1"/>
        <v>40</v>
      </c>
      <c r="B42" s="16" t="s">
        <v>91</v>
      </c>
      <c r="C42" s="16"/>
      <c r="D42" s="16"/>
      <c r="E42" s="16"/>
      <c r="F42" s="16"/>
      <c r="G42" s="16"/>
      <c r="H42" s="16">
        <f t="shared" si="0"/>
        <v>0</v>
      </c>
      <c r="I42" s="16"/>
    </row>
    <row r="43" spans="1:8" ht="12.75">
      <c r="A43">
        <f t="shared" si="1"/>
        <v>41</v>
      </c>
      <c r="H43">
        <f t="shared" si="0"/>
        <v>0</v>
      </c>
    </row>
    <row r="44" spans="1:8" ht="12.75">
      <c r="A44">
        <f t="shared" si="1"/>
        <v>42</v>
      </c>
      <c r="H44">
        <f t="shared" si="0"/>
        <v>0</v>
      </c>
    </row>
    <row r="45" spans="1:8" ht="12.75">
      <c r="A45">
        <f t="shared" si="1"/>
        <v>43</v>
      </c>
      <c r="H45">
        <f t="shared" si="0"/>
        <v>0</v>
      </c>
    </row>
    <row r="46" spans="1:8" ht="12.75">
      <c r="A46">
        <f t="shared" si="1"/>
        <v>44</v>
      </c>
      <c r="H46">
        <f t="shared" si="0"/>
        <v>0</v>
      </c>
    </row>
    <row r="47" spans="1:8" ht="12.75">
      <c r="A47">
        <f t="shared" si="1"/>
        <v>45</v>
      </c>
      <c r="H47">
        <f t="shared" si="0"/>
        <v>0</v>
      </c>
    </row>
    <row r="48" spans="1:9" ht="12.75">
      <c r="A48" s="17">
        <f t="shared" si="1"/>
        <v>46</v>
      </c>
      <c r="B48" s="17" t="s">
        <v>92</v>
      </c>
      <c r="C48" s="17">
        <v>63228</v>
      </c>
      <c r="D48" s="17">
        <v>143356</v>
      </c>
      <c r="E48" s="17">
        <v>507</v>
      </c>
      <c r="F48" s="17">
        <f>61.6*(2.54*12/10)</f>
        <v>187.7568</v>
      </c>
      <c r="G48" s="17"/>
      <c r="H48" s="17">
        <f t="shared" si="0"/>
        <v>0</v>
      </c>
      <c r="I48" s="17"/>
    </row>
    <row r="49" spans="1:8" ht="12.75">
      <c r="A49">
        <f t="shared" si="1"/>
        <v>47</v>
      </c>
      <c r="H49">
        <f t="shared" si="0"/>
        <v>0</v>
      </c>
    </row>
    <row r="50" spans="1:8" ht="12.75">
      <c r="A50">
        <f t="shared" si="1"/>
        <v>48</v>
      </c>
      <c r="H50">
        <f t="shared" si="0"/>
        <v>0</v>
      </c>
    </row>
    <row r="51" spans="1:8" ht="12.75">
      <c r="A51">
        <f t="shared" si="1"/>
        <v>49</v>
      </c>
      <c r="H51">
        <f t="shared" si="0"/>
        <v>0</v>
      </c>
    </row>
    <row r="52" spans="1:9" ht="12.75">
      <c r="A52">
        <f t="shared" si="1"/>
        <v>50</v>
      </c>
      <c r="B52" t="s">
        <v>93</v>
      </c>
      <c r="C52">
        <v>63230</v>
      </c>
      <c r="D52">
        <v>143440</v>
      </c>
      <c r="E52">
        <v>508</v>
      </c>
      <c r="F52">
        <v>67.5</v>
      </c>
      <c r="G52">
        <v>36</v>
      </c>
      <c r="H52">
        <f t="shared" si="0"/>
        <v>2430</v>
      </c>
      <c r="I52">
        <v>102</v>
      </c>
    </row>
    <row r="53" spans="1:9" ht="12.75">
      <c r="A53">
        <f t="shared" si="1"/>
        <v>51</v>
      </c>
      <c r="B53" t="s">
        <v>94</v>
      </c>
      <c r="C53">
        <v>63231</v>
      </c>
      <c r="D53">
        <v>143453</v>
      </c>
      <c r="E53">
        <v>510</v>
      </c>
      <c r="F53">
        <v>67.5</v>
      </c>
      <c r="G53">
        <v>36</v>
      </c>
      <c r="H53">
        <f t="shared" si="0"/>
        <v>2430</v>
      </c>
      <c r="I53">
        <v>103</v>
      </c>
    </row>
    <row r="54" spans="1:8" ht="12.75">
      <c r="A54">
        <f t="shared" si="1"/>
        <v>52</v>
      </c>
      <c r="H54">
        <f t="shared" si="0"/>
        <v>0</v>
      </c>
    </row>
    <row r="55" spans="1:9" ht="12.75">
      <c r="A55" s="20">
        <f t="shared" si="1"/>
        <v>53</v>
      </c>
      <c r="B55" s="20" t="s">
        <v>95</v>
      </c>
      <c r="C55" s="20" t="s">
        <v>96</v>
      </c>
      <c r="D55" s="20" t="s">
        <v>96</v>
      </c>
      <c r="E55" s="20"/>
      <c r="F55" s="20"/>
      <c r="G55" s="20"/>
      <c r="H55" s="20">
        <f t="shared" si="0"/>
        <v>0</v>
      </c>
      <c r="I55" s="20"/>
    </row>
    <row r="56" spans="1:8" ht="12.75">
      <c r="A56">
        <f t="shared" si="1"/>
        <v>54</v>
      </c>
      <c r="F56" s="18"/>
      <c r="H56">
        <f t="shared" si="0"/>
        <v>0</v>
      </c>
    </row>
    <row r="57" spans="1:8" ht="12.75">
      <c r="A57">
        <f t="shared" si="1"/>
        <v>55</v>
      </c>
      <c r="H57">
        <f t="shared" si="0"/>
        <v>0</v>
      </c>
    </row>
    <row r="58" spans="1:8" ht="12.75">
      <c r="A58">
        <f t="shared" si="1"/>
        <v>56</v>
      </c>
      <c r="H58">
        <f t="shared" si="0"/>
        <v>0</v>
      </c>
    </row>
    <row r="59" spans="1:8" ht="12.75">
      <c r="A59">
        <f t="shared" si="1"/>
        <v>57</v>
      </c>
      <c r="H59">
        <f t="shared" si="0"/>
        <v>0</v>
      </c>
    </row>
    <row r="60" spans="1:9" ht="12.75">
      <c r="A60" s="17">
        <f t="shared" si="1"/>
        <v>58</v>
      </c>
      <c r="B60" s="17" t="s">
        <v>97</v>
      </c>
      <c r="C60" s="17"/>
      <c r="D60" s="17"/>
      <c r="E60" s="17"/>
      <c r="F60" s="17">
        <f>603.5*3.048</f>
        <v>1839.468</v>
      </c>
      <c r="G60" s="17"/>
      <c r="H60" s="17">
        <f t="shared" si="0"/>
        <v>0</v>
      </c>
      <c r="I60" s="17"/>
    </row>
    <row r="61" spans="1:9" ht="12.75">
      <c r="A61">
        <f t="shared" si="1"/>
        <v>59</v>
      </c>
      <c r="B61" t="s">
        <v>98</v>
      </c>
      <c r="C61">
        <v>63548</v>
      </c>
      <c r="D61">
        <v>149050</v>
      </c>
      <c r="E61">
        <v>311</v>
      </c>
      <c r="F61">
        <v>81</v>
      </c>
      <c r="G61">
        <v>39</v>
      </c>
      <c r="H61">
        <f t="shared" si="0"/>
        <v>3159</v>
      </c>
      <c r="I61">
        <v>483</v>
      </c>
    </row>
    <row r="62" spans="1:9" ht="12.75">
      <c r="A62">
        <f t="shared" si="1"/>
        <v>60</v>
      </c>
      <c r="B62" t="s">
        <v>99</v>
      </c>
      <c r="C62">
        <v>63378</v>
      </c>
      <c r="D62">
        <v>144006</v>
      </c>
      <c r="E62">
        <v>514</v>
      </c>
      <c r="F62">
        <v>41</v>
      </c>
      <c r="G62">
        <v>37</v>
      </c>
      <c r="H62">
        <f t="shared" si="0"/>
        <v>1517</v>
      </c>
      <c r="I62">
        <v>78</v>
      </c>
    </row>
    <row r="63" spans="1:8" ht="12.75">
      <c r="A63">
        <f t="shared" si="1"/>
        <v>61</v>
      </c>
      <c r="H63">
        <f t="shared" si="0"/>
        <v>0</v>
      </c>
    </row>
    <row r="64" spans="1:8" ht="12.75">
      <c r="A64">
        <f t="shared" si="1"/>
        <v>62</v>
      </c>
      <c r="H64">
        <f t="shared" si="0"/>
        <v>0</v>
      </c>
    </row>
    <row r="65" spans="1:8" ht="12.75">
      <c r="A65">
        <f t="shared" si="1"/>
        <v>63</v>
      </c>
      <c r="H65">
        <f t="shared" si="0"/>
        <v>0</v>
      </c>
    </row>
    <row r="66" spans="1:8" ht="12.75">
      <c r="A66">
        <f t="shared" si="1"/>
        <v>64</v>
      </c>
      <c r="H66">
        <f t="shared" si="0"/>
        <v>0</v>
      </c>
    </row>
    <row r="67" spans="1:8" ht="12.75">
      <c r="A67">
        <f t="shared" si="1"/>
        <v>65</v>
      </c>
      <c r="H67">
        <f t="shared" si="0"/>
        <v>0</v>
      </c>
    </row>
    <row r="68" spans="1:8" ht="12.75">
      <c r="A68">
        <f t="shared" si="1"/>
        <v>66</v>
      </c>
      <c r="H68">
        <f aca="true" t="shared" si="2" ref="H68:H92">F68*G68</f>
        <v>0</v>
      </c>
    </row>
    <row r="69" spans="1:8" ht="12.75">
      <c r="A69">
        <f aca="true" t="shared" si="3" ref="A69:A92">A68+1</f>
        <v>67</v>
      </c>
      <c r="H69">
        <f t="shared" si="2"/>
        <v>0</v>
      </c>
    </row>
    <row r="70" spans="1:8" ht="12.75">
      <c r="A70">
        <f t="shared" si="3"/>
        <v>68</v>
      </c>
      <c r="H70">
        <f t="shared" si="2"/>
        <v>0</v>
      </c>
    </row>
    <row r="71" spans="1:9" ht="12.75">
      <c r="A71" s="16">
        <f t="shared" si="3"/>
        <v>69</v>
      </c>
      <c r="B71" s="16" t="s">
        <v>100</v>
      </c>
      <c r="C71" s="16"/>
      <c r="D71" s="16"/>
      <c r="E71" s="16"/>
      <c r="F71" s="16"/>
      <c r="G71" s="16"/>
      <c r="H71" s="16">
        <f t="shared" si="2"/>
        <v>0</v>
      </c>
      <c r="I71" s="16"/>
    </row>
    <row r="72" spans="1:8" ht="12.75">
      <c r="A72">
        <f t="shared" si="3"/>
        <v>70</v>
      </c>
      <c r="H72">
        <f t="shared" si="2"/>
        <v>0</v>
      </c>
    </row>
    <row r="73" spans="1:8" ht="12.75">
      <c r="A73">
        <f t="shared" si="3"/>
        <v>71</v>
      </c>
      <c r="H73">
        <f t="shared" si="2"/>
        <v>0</v>
      </c>
    </row>
    <row r="74" spans="1:8" ht="12.75">
      <c r="A74">
        <f t="shared" si="3"/>
        <v>72</v>
      </c>
      <c r="H74">
        <f t="shared" si="2"/>
        <v>0</v>
      </c>
    </row>
    <row r="75" spans="1:8" ht="12.75">
      <c r="A75">
        <f t="shared" si="3"/>
        <v>73</v>
      </c>
      <c r="H75">
        <f t="shared" si="2"/>
        <v>0</v>
      </c>
    </row>
    <row r="76" spans="1:9" ht="12.75">
      <c r="A76" s="16">
        <f t="shared" si="3"/>
        <v>74</v>
      </c>
      <c r="B76" s="16" t="s">
        <v>101</v>
      </c>
      <c r="C76" s="16"/>
      <c r="D76" s="16"/>
      <c r="E76" s="16"/>
      <c r="F76" s="16"/>
      <c r="G76" s="16"/>
      <c r="H76" s="16">
        <f t="shared" si="2"/>
        <v>0</v>
      </c>
      <c r="I76" s="16"/>
    </row>
    <row r="77" spans="1:8" ht="12.75">
      <c r="A77">
        <f t="shared" si="3"/>
        <v>75</v>
      </c>
      <c r="H77">
        <f t="shared" si="2"/>
        <v>0</v>
      </c>
    </row>
    <row r="78" spans="1:9" ht="12.75">
      <c r="A78" s="16">
        <f t="shared" si="3"/>
        <v>76</v>
      </c>
      <c r="B78" s="16" t="s">
        <v>101</v>
      </c>
      <c r="C78" s="16"/>
      <c r="D78" s="16"/>
      <c r="E78" s="16"/>
      <c r="F78" s="16"/>
      <c r="G78" s="16"/>
      <c r="H78" s="16">
        <f t="shared" si="2"/>
        <v>0</v>
      </c>
      <c r="I78" s="16"/>
    </row>
    <row r="79" spans="1:8" ht="12.75">
      <c r="A79">
        <f t="shared" si="3"/>
        <v>77</v>
      </c>
      <c r="H79">
        <f t="shared" si="2"/>
        <v>0</v>
      </c>
    </row>
    <row r="80" spans="1:9" ht="12.75">
      <c r="A80">
        <f t="shared" si="3"/>
        <v>78</v>
      </c>
      <c r="B80" t="s">
        <v>102</v>
      </c>
      <c r="C80">
        <v>63526</v>
      </c>
      <c r="D80">
        <v>149011</v>
      </c>
      <c r="E80">
        <v>851</v>
      </c>
      <c r="F80">
        <v>300.5</v>
      </c>
      <c r="G80">
        <v>33</v>
      </c>
      <c r="H80">
        <f t="shared" si="2"/>
        <v>9916.5</v>
      </c>
      <c r="I80">
        <v>435</v>
      </c>
    </row>
    <row r="81" spans="1:9" ht="12.75">
      <c r="A81" s="17">
        <f t="shared" si="3"/>
        <v>79</v>
      </c>
      <c r="B81" s="17" t="s">
        <v>103</v>
      </c>
      <c r="C81" s="17"/>
      <c r="D81" s="17"/>
      <c r="E81" s="17"/>
      <c r="F81" s="17">
        <f>295.7*3.048</f>
        <v>901.2936</v>
      </c>
      <c r="G81" s="17"/>
      <c r="H81" s="17">
        <f t="shared" si="2"/>
        <v>0</v>
      </c>
      <c r="I81" s="17"/>
    </row>
    <row r="82" spans="1:8" ht="12.75">
      <c r="A82">
        <f t="shared" si="3"/>
        <v>80</v>
      </c>
      <c r="H82">
        <f t="shared" si="2"/>
        <v>0</v>
      </c>
    </row>
    <row r="83" spans="1:8" ht="12.75">
      <c r="A83">
        <f t="shared" si="3"/>
        <v>81</v>
      </c>
      <c r="H83">
        <f t="shared" si="2"/>
        <v>0</v>
      </c>
    </row>
    <row r="84" spans="1:8" ht="12.75">
      <c r="A84">
        <f t="shared" si="3"/>
        <v>82</v>
      </c>
      <c r="H84">
        <f t="shared" si="2"/>
        <v>0</v>
      </c>
    </row>
    <row r="85" spans="1:9" ht="12.75">
      <c r="A85">
        <f t="shared" si="3"/>
        <v>83</v>
      </c>
      <c r="B85" t="s">
        <v>104</v>
      </c>
      <c r="C85">
        <v>63472</v>
      </c>
      <c r="D85">
        <v>144475</v>
      </c>
      <c r="E85">
        <v>519</v>
      </c>
      <c r="F85">
        <v>200</v>
      </c>
      <c r="G85">
        <v>38.92</v>
      </c>
      <c r="H85">
        <f t="shared" si="2"/>
        <v>7784</v>
      </c>
      <c r="I85">
        <v>513</v>
      </c>
    </row>
    <row r="86" spans="1:8" ht="12.75">
      <c r="A86">
        <f t="shared" si="3"/>
        <v>84</v>
      </c>
      <c r="H86">
        <f t="shared" si="2"/>
        <v>0</v>
      </c>
    </row>
    <row r="87" spans="1:9" ht="12.75">
      <c r="A87" s="17">
        <f t="shared" si="3"/>
        <v>85</v>
      </c>
      <c r="B87" s="17" t="s">
        <v>105</v>
      </c>
      <c r="C87" s="17"/>
      <c r="D87" s="17"/>
      <c r="E87" s="17"/>
      <c r="F87" s="17">
        <f>554.5*3.048</f>
        <v>1690.116</v>
      </c>
      <c r="G87" s="17"/>
      <c r="H87" s="17">
        <f t="shared" si="2"/>
        <v>0</v>
      </c>
      <c r="I87" s="17"/>
    </row>
    <row r="88" spans="1:9" ht="12.75">
      <c r="A88">
        <f t="shared" si="3"/>
        <v>86</v>
      </c>
      <c r="B88" t="s">
        <v>106</v>
      </c>
      <c r="C88">
        <v>63539</v>
      </c>
      <c r="D88">
        <v>145138</v>
      </c>
      <c r="E88">
        <v>521</v>
      </c>
      <c r="F88">
        <v>139</v>
      </c>
      <c r="G88">
        <v>38.92</v>
      </c>
      <c r="H88">
        <f>F88*G88</f>
        <v>5409.88</v>
      </c>
      <c r="I88">
        <v>492</v>
      </c>
    </row>
    <row r="89" spans="1:9" ht="12.75">
      <c r="A89" s="16">
        <f t="shared" si="3"/>
        <v>87</v>
      </c>
      <c r="B89" s="16" t="s">
        <v>107</v>
      </c>
      <c r="C89" s="16"/>
      <c r="D89" s="16"/>
      <c r="E89" s="16"/>
      <c r="F89" s="16"/>
      <c r="G89" s="16"/>
      <c r="H89" s="16">
        <f t="shared" si="2"/>
        <v>0</v>
      </c>
      <c r="I89" s="16"/>
    </row>
    <row r="90" spans="1:8" ht="12.75">
      <c r="A90">
        <f t="shared" si="3"/>
        <v>88</v>
      </c>
      <c r="H90">
        <f t="shared" si="2"/>
        <v>0</v>
      </c>
    </row>
    <row r="91" spans="1:8" ht="12.75">
      <c r="A91">
        <f t="shared" si="3"/>
        <v>89</v>
      </c>
      <c r="H91">
        <f t="shared" si="2"/>
        <v>0</v>
      </c>
    </row>
    <row r="92" spans="1:8" ht="12.75">
      <c r="A92">
        <f t="shared" si="3"/>
        <v>90</v>
      </c>
      <c r="H92">
        <f t="shared" si="2"/>
        <v>0</v>
      </c>
    </row>
    <row r="94" spans="1:7" ht="12.75">
      <c r="A94" s="21"/>
      <c r="B94" s="18" t="s">
        <v>108</v>
      </c>
      <c r="C94" s="18"/>
      <c r="D94" s="18"/>
      <c r="E94" s="18"/>
      <c r="F94" s="18"/>
      <c r="G94" s="18"/>
    </row>
    <row r="95" spans="1:2" ht="12.75">
      <c r="A95" s="19"/>
      <c r="B95" t="s">
        <v>109</v>
      </c>
    </row>
    <row r="96" spans="1:2" ht="12.75">
      <c r="A96" s="16"/>
      <c r="B96" t="s">
        <v>110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Fisher</dc:creator>
  <cp:keywords/>
  <dc:description/>
  <cp:lastModifiedBy>Peter Laight</cp:lastModifiedBy>
  <cp:lastPrinted>2006-05-25T21:02:17Z</cp:lastPrinted>
  <dcterms:created xsi:type="dcterms:W3CDTF">2005-12-08T22:18:30Z</dcterms:created>
  <dcterms:modified xsi:type="dcterms:W3CDTF">2007-04-26T17:13:13Z</dcterms:modified>
  <cp:category/>
  <cp:version/>
  <cp:contentType/>
  <cp:contentStatus/>
</cp:coreProperties>
</file>