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74" activeTab="0"/>
  </bookViews>
  <sheets>
    <sheet name="Consolidated Tonnages Inbound" sheetId="1" r:id="rId1"/>
    <sheet name="Port of Anchorage Freight Tons" sheetId="2" r:id="rId2"/>
    <sheet name="Highway Tonnages" sheetId="3" r:id="rId3"/>
    <sheet name="Rail Barge Tonnage" sheetId="4" r:id="rId4"/>
    <sheet name="Horizon Ocean Rates" sheetId="5" r:id="rId5"/>
    <sheet name="Horizon Alaska Inland Rates" sheetId="6" r:id="rId6"/>
    <sheet name="Horizon WA Inland Rates" sheetId="7" r:id="rId7"/>
  </sheets>
  <definedNames>
    <definedName name="_xlnm.Print_Area" localSheetId="0">'Consolidated Tonnages Inbound'!$B$2:$K$30</definedName>
    <definedName name="_xlnm.Print_Area" localSheetId="3">'Rail Barge Tonnage'!$V$6:$Z$56</definedName>
  </definedNames>
  <calcPr fullCalcOnLoad="1"/>
</workbook>
</file>

<file path=xl/sharedStrings.xml><?xml version="1.0" encoding="utf-8"?>
<sst xmlns="http://schemas.openxmlformats.org/spreadsheetml/2006/main" count="806" uniqueCount="451">
  <si>
    <t>Highway</t>
  </si>
  <si>
    <t>Horizon Lines Tariff Rates</t>
  </si>
  <si>
    <t>Commodity Group</t>
  </si>
  <si>
    <t>Total</t>
  </si>
  <si>
    <t>All Other</t>
  </si>
  <si>
    <t>Chemicals</t>
  </si>
  <si>
    <t>Crushed Stone, Sand, Gravel</t>
  </si>
  <si>
    <t>Farm Products</t>
  </si>
  <si>
    <t>Food Products</t>
  </si>
  <si>
    <t>Grain</t>
  </si>
  <si>
    <t>Grain Mill Products</t>
  </si>
  <si>
    <t>Grain Products</t>
  </si>
  <si>
    <t>Hazmat</t>
  </si>
  <si>
    <t>Lumber / Wood Products</t>
  </si>
  <si>
    <t>Metals and Products</t>
  </si>
  <si>
    <t>Motor Vehicles &amp; Equipment</t>
  </si>
  <si>
    <t>Nonmetallic Minerals</t>
  </si>
  <si>
    <t>Petroleum Products</t>
  </si>
  <si>
    <t>Primary Forest Products</t>
  </si>
  <si>
    <t>Pulp and Paper Products</t>
  </si>
  <si>
    <t>Stone Clay Glass Prods</t>
  </si>
  <si>
    <t>Waste &amp;Scrap</t>
  </si>
  <si>
    <t>Grand Total</t>
  </si>
  <si>
    <t>Miscellaneous</t>
  </si>
  <si>
    <t>Table 1 - Total Inbound Volumes Via Rail Barge</t>
  </si>
  <si>
    <t>Origin Country</t>
  </si>
  <si>
    <t>Orig State</t>
  </si>
  <si>
    <t>Canada</t>
  </si>
  <si>
    <t>AB</t>
  </si>
  <si>
    <t>BC</t>
  </si>
  <si>
    <t>MB</t>
  </si>
  <si>
    <t>MI</t>
  </si>
  <si>
    <t>ON</t>
  </si>
  <si>
    <t>SK</t>
  </si>
  <si>
    <t>Canada Total</t>
  </si>
  <si>
    <t>United States</t>
  </si>
  <si>
    <t>AL</t>
  </si>
  <si>
    <t>AR</t>
  </si>
  <si>
    <t>CA</t>
  </si>
  <si>
    <t>CO</t>
  </si>
  <si>
    <t>FL</t>
  </si>
  <si>
    <t>GA</t>
  </si>
  <si>
    <t>IA</t>
  </si>
  <si>
    <t>ID</t>
  </si>
  <si>
    <t>IL</t>
  </si>
  <si>
    <t>KS</t>
  </si>
  <si>
    <t>KY</t>
  </si>
  <si>
    <t>LA</t>
  </si>
  <si>
    <t>MN</t>
  </si>
  <si>
    <t>MO</t>
  </si>
  <si>
    <t>MT</t>
  </si>
  <si>
    <t>NC</t>
  </si>
  <si>
    <t>ND</t>
  </si>
  <si>
    <t>NE</t>
  </si>
  <si>
    <t>NV</t>
  </si>
  <si>
    <t>NY</t>
  </si>
  <si>
    <t>OH</t>
  </si>
  <si>
    <t>OK</t>
  </si>
  <si>
    <t>SC</t>
  </si>
  <si>
    <t>SD</t>
  </si>
  <si>
    <t>TN</t>
  </si>
  <si>
    <t>TX</t>
  </si>
  <si>
    <t>UT</t>
  </si>
  <si>
    <t>WA</t>
  </si>
  <si>
    <t>WI</t>
  </si>
  <si>
    <t>WV</t>
  </si>
  <si>
    <t>WY</t>
  </si>
  <si>
    <t>United States Total</t>
  </si>
  <si>
    <t>Table 2 - Volumes by Origin Country and State / Province</t>
  </si>
  <si>
    <t>Tonnage</t>
  </si>
  <si>
    <t>Railcars</t>
  </si>
  <si>
    <t>Table 3 - Commodity Breakdown by Origin Country</t>
  </si>
  <si>
    <t xml:space="preserve"> Total</t>
  </si>
  <si>
    <t>Barge Service</t>
  </si>
  <si>
    <t>AK Rail Belt Marine</t>
  </si>
  <si>
    <t>CN Aquatrain</t>
  </si>
  <si>
    <t>Table 4 - Commodity Breakdown by Assumed Barge Service</t>
  </si>
  <si>
    <t>Calcium Chloride</t>
  </si>
  <si>
    <t>Potassium Chloride</t>
  </si>
  <si>
    <t>Sodium Chloride</t>
  </si>
  <si>
    <t>Chemicals Total</t>
  </si>
  <si>
    <t>Carbon Dioxide</t>
  </si>
  <si>
    <t>Ethylene Liquid</t>
  </si>
  <si>
    <t>Hazardous Materials</t>
  </si>
  <si>
    <t>Hazmat Total</t>
  </si>
  <si>
    <t>Lumber</t>
  </si>
  <si>
    <t>OSB</t>
  </si>
  <si>
    <t>Telephone Poles</t>
  </si>
  <si>
    <t>Lumber / Wood Products Total</t>
  </si>
  <si>
    <t>Conduit Pipe</t>
  </si>
  <si>
    <t>Grinding Balls</t>
  </si>
  <si>
    <t>Pipe or Tubing</t>
  </si>
  <si>
    <t>Reinforcement Rods</t>
  </si>
  <si>
    <t>Metals and Products Total</t>
  </si>
  <si>
    <t>Barium Sulphate</t>
  </si>
  <si>
    <t>Pumice Aggregate</t>
  </si>
  <si>
    <t>Nonmetallic Minerals Total</t>
  </si>
  <si>
    <t>Oil</t>
  </si>
  <si>
    <t>Pet Lube Oil</t>
  </si>
  <si>
    <t>Newsprint</t>
  </si>
  <si>
    <t>Ground Clay</t>
  </si>
  <si>
    <t>Hydraulic Cement</t>
  </si>
  <si>
    <t>Lime</t>
  </si>
  <si>
    <t>Stone Clay Glass Prods Total</t>
  </si>
  <si>
    <t>Fly Ash</t>
  </si>
  <si>
    <t>I&amp;S Scrap</t>
  </si>
  <si>
    <t>Table 5 - Major Commodities</t>
  </si>
  <si>
    <t>Group</t>
  </si>
  <si>
    <t>Percentage</t>
  </si>
  <si>
    <t>All Other (17)</t>
  </si>
  <si>
    <t>All Other (5)</t>
  </si>
  <si>
    <t>All Other (29)</t>
  </si>
  <si>
    <t>All Other (6)</t>
  </si>
  <si>
    <t xml:space="preserve">All Commodities </t>
  </si>
  <si>
    <t>Port of Anchorage, Alaska</t>
  </si>
  <si>
    <t>Total Short Tons</t>
  </si>
  <si>
    <t>Freight NOS</t>
  </si>
  <si>
    <t>I/B</t>
  </si>
  <si>
    <t>O/B</t>
  </si>
  <si>
    <t>Sub total</t>
  </si>
  <si>
    <t>Cement (Bulk)</t>
  </si>
  <si>
    <t>Assume 34% domestic/ 66% foreign per VZM/Transystems Port of Anchorage Master Plan 1999</t>
  </si>
  <si>
    <t>Iron / Steel</t>
  </si>
  <si>
    <t>Lumber / Logs</t>
  </si>
  <si>
    <t>Petroleum NOS</t>
  </si>
  <si>
    <t>Vans/Flats/Containers</t>
  </si>
  <si>
    <t>Assume 10% Outbound per VZM/Transystems</t>
  </si>
  <si>
    <t>Includes Vehicle tonnages - all assumed inbound</t>
  </si>
  <si>
    <t>Petroleum Bulk</t>
  </si>
  <si>
    <t>Assume 56% I/B based on VZM/Transystems - 1999 Study</t>
  </si>
  <si>
    <t>Petroleum (In Barrels)</t>
  </si>
  <si>
    <t>Total Tonnage</t>
  </si>
  <si>
    <t>Percentage Breakdown</t>
  </si>
  <si>
    <t>Inbound</t>
  </si>
  <si>
    <t>Total Inbound</t>
  </si>
  <si>
    <t>Total Outbound</t>
  </si>
  <si>
    <t>Percentage Inbound</t>
  </si>
  <si>
    <t>Agricultural Products</t>
  </si>
  <si>
    <t>Bus and Taxi Service</t>
  </si>
  <si>
    <t>Construction Materials</t>
  </si>
  <si>
    <t>General Merchandise</t>
  </si>
  <si>
    <t>Household Goods</t>
  </si>
  <si>
    <t>Iron, Pipe &amp; Steel</t>
  </si>
  <si>
    <t>Livestock</t>
  </si>
  <si>
    <t>Mine Ore</t>
  </si>
  <si>
    <t>Mobile Homes</t>
  </si>
  <si>
    <t>Mobile Homes - Residential</t>
  </si>
  <si>
    <t>Not specified</t>
  </si>
  <si>
    <t>Timber</t>
  </si>
  <si>
    <t>Vehicles, Machinery &amp; Equip.</t>
  </si>
  <si>
    <t>Other (misspecified data)</t>
  </si>
  <si>
    <t>Subtotal</t>
  </si>
  <si>
    <t>Yukon</t>
  </si>
  <si>
    <t>Total Inbound to Alaska</t>
  </si>
  <si>
    <t>South of 60</t>
  </si>
  <si>
    <t>Highway Traffic Destined to Alaska</t>
  </si>
  <si>
    <t>Port of</t>
  </si>
  <si>
    <t>(2004)</t>
  </si>
  <si>
    <t>Rail Barge</t>
  </si>
  <si>
    <t>(2003)</t>
  </si>
  <si>
    <t>(2005)</t>
  </si>
  <si>
    <t>Iron / Steel / Pipe</t>
  </si>
  <si>
    <t>Lumber / Logs / Wood Products</t>
  </si>
  <si>
    <t>Modal Split</t>
  </si>
  <si>
    <t>Anchorage</t>
  </si>
  <si>
    <t>BONNEY LAKE, WA</t>
  </si>
  <si>
    <t>MONROE, WA</t>
  </si>
  <si>
    <t>BOTHELL, WA</t>
  </si>
  <si>
    <t>MOUNTLAKE TERRACE,W</t>
  </si>
  <si>
    <t>BUCKLEY, WA</t>
  </si>
  <si>
    <t>MUKILTEO, WA</t>
  </si>
  <si>
    <t>BURIEN, WA</t>
  </si>
  <si>
    <t>NORTH BEND, WA</t>
  </si>
  <si>
    <t>BURLEY, WA</t>
  </si>
  <si>
    <t>OLALLA, WA</t>
  </si>
  <si>
    <t>CARBONADO, WA</t>
  </si>
  <si>
    <t>ORTING, WA</t>
  </si>
  <si>
    <t>CARNATION, WA</t>
  </si>
  <si>
    <t>PACIFIC, WA</t>
  </si>
  <si>
    <t>DES MOINES, WA</t>
  </si>
  <si>
    <t>PARKLAND, WA</t>
  </si>
  <si>
    <t>DU PONT, WA</t>
  </si>
  <si>
    <t>PORT ORCHARD, WA</t>
  </si>
  <si>
    <t>DUVALL, WA</t>
  </si>
  <si>
    <t>PRESTON, WA</t>
  </si>
  <si>
    <t>EATONVILLE, WA</t>
  </si>
  <si>
    <t>PUYALLUP, WA</t>
  </si>
  <si>
    <t>EDMONDS, WA</t>
  </si>
  <si>
    <t>RAVENSDALE, WA</t>
  </si>
  <si>
    <t>ELBE, WA</t>
  </si>
  <si>
    <t>REDMOND, WA</t>
  </si>
  <si>
    <t>ENUMCLAW, WA</t>
  </si>
  <si>
    <t>REDONDO, WA</t>
  </si>
  <si>
    <t>EVERETT, WA</t>
  </si>
  <si>
    <t>RENTON, WA</t>
  </si>
  <si>
    <t>FALL CITY, WA</t>
  </si>
  <si>
    <t>RICHMOND BEACH, WA</t>
  </si>
  <si>
    <t>FEDERAL WAY, WA</t>
  </si>
  <si>
    <t>FERN HILL, WA</t>
  </si>
  <si>
    <t>ROLLINGBAY, WA</t>
  </si>
  <si>
    <t>FIFE, WA</t>
  </si>
  <si>
    <t>ROY, WA</t>
  </si>
  <si>
    <t>FIRCREST, WA</t>
  </si>
  <si>
    <t>RUSTON, WA</t>
  </si>
  <si>
    <t>FOX ISLAND, WA</t>
  </si>
  <si>
    <t>SEAHURST, WA</t>
  </si>
  <si>
    <t>GIG HARBOR, WA</t>
  </si>
  <si>
    <t>SNOHOMISH, WA</t>
  </si>
  <si>
    <t>GORST, WA</t>
  </si>
  <si>
    <t>SNOQUALMIE, WA</t>
  </si>
  <si>
    <t>GRAHAM, WA</t>
  </si>
  <si>
    <t>SOUTH PRAIRIE, WA</t>
  </si>
  <si>
    <t>GRAPEVIEW, WA</t>
  </si>
  <si>
    <t>SOUTHWORTH, WA</t>
  </si>
  <si>
    <t>HOBART, WA</t>
  </si>
  <si>
    <t>SPANAWAY, WA</t>
  </si>
  <si>
    <t>ISSAQUAH, WA</t>
  </si>
  <si>
    <t>STARTUP, WA</t>
  </si>
  <si>
    <t>KAPOWSIN, WA</t>
  </si>
  <si>
    <t>SULTAN, WA</t>
  </si>
  <si>
    <t>KENMORE, WA</t>
  </si>
  <si>
    <t>SUMNER, WA</t>
  </si>
  <si>
    <t>KENT, WA</t>
  </si>
  <si>
    <t>TACOMA, WA</t>
  </si>
  <si>
    <t>KIRKLAND, WA</t>
  </si>
  <si>
    <t>TILLICUM, WA</t>
  </si>
  <si>
    <t>LA GRANDE, WA</t>
  </si>
  <si>
    <t>TUKWILA, WA</t>
  </si>
  <si>
    <t>LAKE STEVENS, WA</t>
  </si>
  <si>
    <t>UNIVERSITY PLACE,W</t>
  </si>
  <si>
    <t>LAKEBAY, WA</t>
  </si>
  <si>
    <t>VASHON, WA</t>
  </si>
  <si>
    <t>LAKEWOOD, WA</t>
  </si>
  <si>
    <t>VAUGHN, WA</t>
  </si>
  <si>
    <t>LYNNWOOD, WA</t>
  </si>
  <si>
    <t>WAUNA, WA</t>
  </si>
  <si>
    <t>MALTBY, WA</t>
  </si>
  <si>
    <t>WILKESON, WA</t>
  </si>
  <si>
    <t>MAPLE VALLEY, WA</t>
  </si>
  <si>
    <t>WOODINVILLE, WA</t>
  </si>
  <si>
    <t>MARYSVILLE, WA</t>
  </si>
  <si>
    <t>SEATAC, WA</t>
  </si>
  <si>
    <t xml:space="preserve">SEATTLE, WA         </t>
  </si>
  <si>
    <t>SEATTLE,WA (piers only)</t>
  </si>
  <si>
    <t xml:space="preserve">FREELAND, WA         </t>
  </si>
  <si>
    <t>OR</t>
  </si>
  <si>
    <t>ALGONA, WA        $158.00     MCKENNA, WA         $174.00</t>
  </si>
  <si>
    <t>ASHFORD, WA       $158.00     MCMILLIN, WA        $258.00</t>
  </si>
  <si>
    <t>AUBURN, WA        $158.00     MEDINA, WA          $315.00</t>
  </si>
  <si>
    <t>BELLEVUE, WA      $315.00     MERCER ISLAND, WA   $258.00</t>
  </si>
  <si>
    <t>BLACK DIAMOND, WA $268.00     MILTON, WA          $158.00</t>
  </si>
  <si>
    <t>BONNEY LAKE, WA   $158.00     MONROE, WA          $419.00</t>
  </si>
  <si>
    <t>BOTHELL, WA       $369.00     MOUNTLAKE TERRACE,W $361.00</t>
  </si>
  <si>
    <t>BUCKLEY, WA       $179.00     MUKILTEO, WA        $412.00</t>
  </si>
  <si>
    <t>BURIEN, WA        $230.00     NORTH BEND, WA      $378.00</t>
  </si>
  <si>
    <t>BURLEY, WA        $158.00     OLALLA, WA          $158.00</t>
  </si>
  <si>
    <t>CARBONADO, WA     $314.00     ORTING, WA          $179.00</t>
  </si>
  <si>
    <t>CARNATION, WA     $378.00     PACIFIC, WA         $158.00</t>
  </si>
  <si>
    <t>DES MOINES, WA    $230.00     PARKLAND, WA        $162.00</t>
  </si>
  <si>
    <t>DU PONT, WA       $158.00     PORT ORCHARD, WA    $158.00</t>
  </si>
  <si>
    <t>DUVALL, WA        $378.00     PRESTON, WA         $158.00</t>
  </si>
  <si>
    <t>EATONVILLE, WA    $314.00     PUYALLUP, WA        $165.00</t>
  </si>
  <si>
    <t>EDMONDS, WA       $378.00     RAVENSDALE, WA      $158.00</t>
  </si>
  <si>
    <t>ELBE, WA          $161.00     REDMOND, WA         $334.00</t>
  </si>
  <si>
    <t>ENUMCLAW, WA      $268.00     REDONDO, WA         $158.00</t>
  </si>
  <si>
    <t>EVERETT, WA       $419.00     RENTON, WA          $158.00</t>
  </si>
  <si>
    <t>FALL CITY, WA     $378.00     RICHMOND BEACH, WA  $378.00</t>
  </si>
  <si>
    <t>FEDERAL WAY, WA   $186.00         (incl. Pt. Wells)</t>
  </si>
  <si>
    <t>FERN HILL, WA     $158.00     ROLLINGBAY, WA      $158.00</t>
  </si>
  <si>
    <t>FIFE, WA          $158.00     ROY, WA             $308.00</t>
  </si>
  <si>
    <t>FIRCREST, WA      $158.00     RUSTON, WA          $158.00</t>
  </si>
  <si>
    <t>FOX ISLAND, WA    $158.00     SEAHURST, WA        $158.00</t>
  </si>
  <si>
    <t xml:space="preserve">                              SEATAC, WA          $230.00</t>
  </si>
  <si>
    <t>FREELAND, WA      $184.00     SEATTLE, WA         $248.00</t>
  </si>
  <si>
    <t xml:space="preserve">                              SEATTLE,WA (piers only)</t>
  </si>
  <si>
    <t>GIG HARBOR, WA    $186.00     SNOHOMISH, WA       $419.00</t>
  </si>
  <si>
    <t>GORST, WA         $158.00     SNOQUALMIE, WA      $378.00</t>
  </si>
  <si>
    <t>GRAHAM, WA        $185.00     SOUTH PRAIRIE, WA   $314.00</t>
  </si>
  <si>
    <t>GRAPEVIEW, WA     $158.00     SOUTHWORTH, WA      $314.00</t>
  </si>
  <si>
    <t>HOBART, WA        $314.00     SPANAWAY, WA        $165.00</t>
  </si>
  <si>
    <t>ISSAQUAH, WA      $315.00     STARTUP, WA         $494.00</t>
  </si>
  <si>
    <t>KAPOWSIN, WA      $207.00     SULTAN, WA          $511.00</t>
  </si>
  <si>
    <t>KENMORE, WA       $334.00     SUMNER, WA          $158.00</t>
  </si>
  <si>
    <t>KENT, WA          $175.00     TACOMA, WA          $158.00</t>
  </si>
  <si>
    <t>KIRKLAND, WA      $334.00     TILLICUM, WA        $158.00</t>
  </si>
  <si>
    <t>LA GRANDE, WA     $314.00     TUKWILA, WA         $230.00</t>
  </si>
  <si>
    <t>LAKE STEVENS, WA  $425.00     UNIVERSITY PLACE,W  $158.00</t>
  </si>
  <si>
    <t>LAKEBAY, WA       $158.00     VASHON, WA          $686.00</t>
  </si>
  <si>
    <t>LAKEWOOD, WA      $158.00     VAUGHN, WA          $158.00</t>
  </si>
  <si>
    <t>LYNNWOOD, WA      $401.00     WAUNA, WA           $158.00</t>
  </si>
  <si>
    <t>MALTBY, WA        $378.00     WILKESON, WA        $314.00</t>
  </si>
  <si>
    <t>MAPLE VALLEY, WA  $263.00     WOODINVILLE, WA     $334.00</t>
  </si>
  <si>
    <t>MARYSVILLE, WA    $425.00</t>
  </si>
  <si>
    <t>ALGONA, WA</t>
  </si>
  <si>
    <t>MCKENNA, WA</t>
  </si>
  <si>
    <t>ASHFORD, WA</t>
  </si>
  <si>
    <t>MCMILLIN, WA</t>
  </si>
  <si>
    <t>AUBURN, WA</t>
  </si>
  <si>
    <t>MEDINA, WA</t>
  </si>
  <si>
    <t>BELLEVUE, WA</t>
  </si>
  <si>
    <t>MERCER ISLAND, WA</t>
  </si>
  <si>
    <t>BLACK DIAMOND, WA</t>
  </si>
  <si>
    <t>MILTON, WA</t>
  </si>
  <si>
    <t>Commodity</t>
  </si>
  <si>
    <t>Paper Articles, NOS</t>
  </si>
  <si>
    <t>Origin</t>
  </si>
  <si>
    <t>Destination</t>
  </si>
  <si>
    <t>Tacoma WA</t>
  </si>
  <si>
    <t>Anchorage AK</t>
  </si>
  <si>
    <t>Type</t>
  </si>
  <si>
    <t>Min Wt</t>
  </si>
  <si>
    <t>USD</t>
  </si>
  <si>
    <t>CDN</t>
  </si>
  <si>
    <t>Total Freight</t>
  </si>
  <si>
    <t xml:space="preserve">Exchange Rate: </t>
  </si>
  <si>
    <t>Rate (CWT)</t>
  </si>
  <si>
    <t>Size</t>
  </si>
  <si>
    <t>PC</t>
  </si>
  <si>
    <t>20 FT</t>
  </si>
  <si>
    <t>IN</t>
  </si>
  <si>
    <t>40 FT</t>
  </si>
  <si>
    <t>40B</t>
  </si>
  <si>
    <t>45B</t>
  </si>
  <si>
    <t>Department Store Merchandise</t>
  </si>
  <si>
    <t>Building Materials / Other Articles</t>
  </si>
  <si>
    <t>FR</t>
  </si>
  <si>
    <t>Horticultural Supplies / Other Articles</t>
  </si>
  <si>
    <t>Via</t>
  </si>
  <si>
    <t>-</t>
  </si>
  <si>
    <t>Portland, OR</t>
  </si>
  <si>
    <t>Woodland, WA</t>
  </si>
  <si>
    <t>Poultry, Frozen / Chicken Parts</t>
  </si>
  <si>
    <t>RE</t>
  </si>
  <si>
    <t>Groceries / Other Articles</t>
  </si>
  <si>
    <t>Foodstuffs, Canned</t>
  </si>
  <si>
    <t>Fertilizer, Feed &amp; Other Articles</t>
  </si>
  <si>
    <t>FAK - Refrigerated, NOS</t>
  </si>
  <si>
    <t xml:space="preserve">Fak Mixed Shipments </t>
  </si>
  <si>
    <t>Minimum Volume</t>
  </si>
  <si>
    <t>Weekly</t>
  </si>
  <si>
    <t>Annual</t>
  </si>
  <si>
    <t>FAK All Kinds, Frozen</t>
  </si>
  <si>
    <t>FAK, Liquid in Bulk Tanks</t>
  </si>
  <si>
    <t>TC</t>
  </si>
  <si>
    <t>Chicago, IL</t>
  </si>
  <si>
    <t>Dallas, TX</t>
  </si>
  <si>
    <t>Houston, TX</t>
  </si>
  <si>
    <t>Little Ferry, NJ</t>
  </si>
  <si>
    <t>Los Angeles, CA</t>
  </si>
  <si>
    <t>Mobile. AL</t>
  </si>
  <si>
    <t>Tulsa, OK</t>
  </si>
  <si>
    <t>Inland Surcharge (CWT)</t>
  </si>
  <si>
    <t>Inland Surcharge (PC)</t>
  </si>
  <si>
    <t>Nursery Stock and Other Articles</t>
  </si>
  <si>
    <t>Vehicles, Motor, Self Propelled</t>
  </si>
  <si>
    <t>Unit rate applicable per foot of vehicle length.</t>
  </si>
  <si>
    <t>Automobile</t>
  </si>
  <si>
    <t xml:space="preserve">Motor Home </t>
  </si>
  <si>
    <t>Location</t>
  </si>
  <si>
    <t>EAGLE RIVER, AK</t>
  </si>
  <si>
    <t>EIELSON, AK</t>
  </si>
  <si>
    <t>ELMENDORF AIR FORCE</t>
  </si>
  <si>
    <t>FAIRBANKS, AK</t>
  </si>
  <si>
    <t>FAIRBANKS INTERNATIO</t>
  </si>
  <si>
    <t>FORT GREELY, AK</t>
  </si>
  <si>
    <t>FORT KNOX JOBSITE, A</t>
  </si>
  <si>
    <t>FORT RICHARDSON, AK</t>
  </si>
  <si>
    <t>FORT WAINWRIGHT, AK</t>
  </si>
  <si>
    <t>GAKONA, AK</t>
  </si>
  <si>
    <t>GIRDWOOD, AK</t>
  </si>
  <si>
    <t>GLENNALLEN, AK</t>
  </si>
  <si>
    <t>GRAEHL, AK</t>
  </si>
  <si>
    <t>GULKANA, AK</t>
  </si>
  <si>
    <t>HEALY, AK</t>
  </si>
  <si>
    <t>HOMER, AK</t>
  </si>
  <si>
    <t>HOUSTON, AK</t>
  </si>
  <si>
    <t>INDIAN, AK</t>
  </si>
  <si>
    <t>JONESVILLE, AK</t>
  </si>
  <si>
    <t>KAPARUK, AK</t>
  </si>
  <si>
    <t>KASHWITNA, AK</t>
  </si>
  <si>
    <t>KASILOF, AK</t>
  </si>
  <si>
    <t>KENAI, AK</t>
  </si>
  <si>
    <t>KALIFONSKY, AK</t>
  </si>
  <si>
    <t>LEMETA, AK</t>
  </si>
  <si>
    <t>MATANUSKA, AK</t>
  </si>
  <si>
    <t>MCKINLEY PARK, AK</t>
  </si>
  <si>
    <t>MOOSE CREEK, AK</t>
  </si>
  <si>
    <t>MOOSE PASS, AK</t>
  </si>
  <si>
    <t>NAPTOWNE, AK</t>
  </si>
  <si>
    <t>NIKISKI, AK</t>
  </si>
  <si>
    <t>NINILCHIK, AK</t>
  </si>
  <si>
    <t>NENANA, AK</t>
  </si>
  <si>
    <t>NORTH POLE, AK</t>
  </si>
  <si>
    <t>EKLUTNA, AK</t>
  </si>
  <si>
    <t>ALYESKA, AK</t>
  </si>
  <si>
    <t>ANCHOR POINT, AK</t>
  </si>
  <si>
    <t>ANDERSON, AK</t>
  </si>
  <si>
    <t>BIG DELTA, AK</t>
  </si>
  <si>
    <t>BIG LAKE, AK</t>
  </si>
  <si>
    <t>BIRCHWOOD, AK</t>
  </si>
  <si>
    <t>BIRD CREEK, AK</t>
  </si>
  <si>
    <t>BROAD PASS, AK</t>
  </si>
  <si>
    <t>CANTWELL, AK</t>
  </si>
  <si>
    <t>CENTRAL, AK</t>
  </si>
  <si>
    <t>CHATANIKA, AK</t>
  </si>
  <si>
    <t>CHUGIAK, AK</t>
  </si>
  <si>
    <t>CLAM GULCH, AK</t>
  </si>
  <si>
    <t>CLEAR, AK</t>
  </si>
  <si>
    <t>DELTA JUNCTION, AK</t>
  </si>
  <si>
    <t>PALMER, AK</t>
  </si>
  <si>
    <t>POKER FLAT, AK</t>
  </si>
  <si>
    <t>PORTAGE, AK</t>
  </si>
  <si>
    <t>PRUDHOE BAY, AK</t>
  </si>
  <si>
    <t>SELDOVIA, AK</t>
  </si>
  <si>
    <t>SEWARD, AK</t>
  </si>
  <si>
    <t>SOLDOTNA, AK</t>
  </si>
  <si>
    <t>STERLING, AK</t>
  </si>
  <si>
    <t>SUMMIT, AK</t>
  </si>
  <si>
    <t>SUNSHINE, AK</t>
  </si>
  <si>
    <t>SUTTON, AK</t>
  </si>
  <si>
    <t>SWANSON RIVER, AK</t>
  </si>
  <si>
    <t>TALKEETNA, AK</t>
  </si>
  <si>
    <t>TOK, AK</t>
  </si>
  <si>
    <t>USIBELLI, AK</t>
  </si>
  <si>
    <t>VALDEZ, AK</t>
  </si>
  <si>
    <t>WASILLA, AK</t>
  </si>
  <si>
    <t>WHITTIER, AK</t>
  </si>
  <si>
    <t>WILLOW, AK</t>
  </si>
  <si>
    <t>Dry Standby</t>
  </si>
  <si>
    <t>and Pick</t>
  </si>
  <si>
    <t>Dry drop</t>
  </si>
  <si>
    <t>Standby</t>
  </si>
  <si>
    <t>Reefer</t>
  </si>
  <si>
    <t>Reefer Drop</t>
  </si>
  <si>
    <t>Inalnd Arbitrary Charges as Published by Horizon Lines</t>
  </si>
  <si>
    <t>Refelcts Rates for Inland movement via the port of Anchorage, AK</t>
  </si>
  <si>
    <t>Horizon Lines Arbitrary Charges - Specific Locations State of Washington</t>
  </si>
  <si>
    <t>Petroleum Product (Total)</t>
  </si>
  <si>
    <t>Hazardous Commodities (unspecified)</t>
  </si>
  <si>
    <t>Other Miscellaneous Goods</t>
  </si>
  <si>
    <t>Breakdown of Miscellaneous Goods</t>
  </si>
  <si>
    <t>Share</t>
  </si>
  <si>
    <t>Tons</t>
  </si>
  <si>
    <t xml:space="preserve">Total </t>
  </si>
  <si>
    <t>Ports</t>
  </si>
  <si>
    <t>S.E. Alaska</t>
  </si>
  <si>
    <t>Estimated Annualized Tonnages - (Short Tons)</t>
  </si>
  <si>
    <t>Total Miscellaneous Goods</t>
  </si>
  <si>
    <t>Actual (Metric Tonnes)</t>
  </si>
  <si>
    <t>Actual (Short Tons)</t>
  </si>
  <si>
    <t>Summary Inbound Tonnage To Port of Anchorage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</si>
</sst>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* #,##0.000_);_(* \(#,##0.000\);_(* &quot;-&quot;?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%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44" fontId="0" fillId="0" borderId="0" xfId="17" applyAlignment="1">
      <alignment/>
    </xf>
    <xf numFmtId="167" fontId="0" fillId="0" borderId="0" xfId="17" applyNumberFormat="1" applyAlignment="1">
      <alignment/>
    </xf>
    <xf numFmtId="0" fontId="0" fillId="0" borderId="0" xfId="0" applyAlignment="1">
      <alignment horizontal="right"/>
    </xf>
    <xf numFmtId="168" fontId="0" fillId="0" borderId="0" xfId="17" applyNumberFormat="1" applyAlignment="1">
      <alignment/>
    </xf>
    <xf numFmtId="0" fontId="0" fillId="0" borderId="0" xfId="0" applyAlignment="1" quotePrefix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167" fontId="3" fillId="0" borderId="0" xfId="17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8" fontId="0" fillId="0" borderId="0" xfId="0" applyNumberFormat="1" applyAlignment="1">
      <alignment/>
    </xf>
    <xf numFmtId="8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9" fontId="0" fillId="0" borderId="0" xfId="19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9" fontId="0" fillId="0" borderId="0" xfId="19" applyAlignment="1">
      <alignment horizontal="center"/>
    </xf>
    <xf numFmtId="9" fontId="2" fillId="0" borderId="1" xfId="19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65" fontId="0" fillId="0" borderId="0" xfId="15" applyNumberFormat="1" applyFont="1" applyAlignment="1">
      <alignment/>
    </xf>
    <xf numFmtId="165" fontId="2" fillId="0" borderId="0" xfId="15" applyNumberFormat="1" applyFont="1" applyFill="1" applyBorder="1" applyAlignment="1">
      <alignment/>
    </xf>
    <xf numFmtId="9" fontId="2" fillId="0" borderId="1" xfId="19" applyFont="1" applyBorder="1" applyAlignment="1">
      <alignment/>
    </xf>
    <xf numFmtId="0" fontId="0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0" fillId="0" borderId="2" xfId="0" applyBorder="1" applyAlignment="1">
      <alignment/>
    </xf>
    <xf numFmtId="165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65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165" fontId="0" fillId="0" borderId="7" xfId="15" applyNumberForma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73" fontId="0" fillId="0" borderId="0" xfId="19" applyNumberFormat="1" applyAlignment="1">
      <alignment horizontal="center"/>
    </xf>
    <xf numFmtId="0" fontId="0" fillId="0" borderId="1" xfId="0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165" fontId="2" fillId="0" borderId="8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165" fontId="2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16</xdr:row>
      <xdr:rowOff>9525</xdr:rowOff>
    </xdr:from>
    <xdr:to>
      <xdr:col>9</xdr:col>
      <xdr:colOff>180975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915275" y="2619375"/>
          <a:ext cx="1619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238125</xdr:colOff>
      <xdr:row>17</xdr:row>
      <xdr:rowOff>85725</xdr:rowOff>
    </xdr:from>
    <xdr:ext cx="323850" cy="209550"/>
    <xdr:sp>
      <xdr:nvSpPr>
        <xdr:cNvPr id="2" name="TextBox 2"/>
        <xdr:cNvSpPr txBox="1">
          <a:spLocks noChangeArrowheads="1"/>
        </xdr:cNvSpPr>
      </xdr:nvSpPr>
      <xdr:spPr>
        <a:xfrm>
          <a:off x="8134350" y="285750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67%</a:t>
          </a:r>
        </a:p>
      </xdr:txBody>
    </xdr:sp>
    <xdr:clientData/>
  </xdr:oneCellAnchor>
  <xdr:twoCellAnchor>
    <xdr:from>
      <xdr:col>10</xdr:col>
      <xdr:colOff>57150</xdr:colOff>
      <xdr:row>16</xdr:row>
      <xdr:rowOff>9525</xdr:rowOff>
    </xdr:from>
    <xdr:to>
      <xdr:col>10</xdr:col>
      <xdr:colOff>314325</xdr:colOff>
      <xdr:row>27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8591550" y="2619375"/>
          <a:ext cx="257175" cy="1952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400050</xdr:colOff>
      <xdr:row>21</xdr:row>
      <xdr:rowOff>47625</xdr:rowOff>
    </xdr:from>
    <xdr:ext cx="323850" cy="200025"/>
    <xdr:sp>
      <xdr:nvSpPr>
        <xdr:cNvPr id="4" name="TextBox 4"/>
        <xdr:cNvSpPr txBox="1">
          <a:spLocks noChangeArrowheads="1"/>
        </xdr:cNvSpPr>
      </xdr:nvSpPr>
      <xdr:spPr>
        <a:xfrm>
          <a:off x="8934450" y="347662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92%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tabSelected="1" zoomScale="85" zoomScaleNormal="85" workbookViewId="0" topLeftCell="A1">
      <selection activeCell="D41" sqref="D41"/>
    </sheetView>
  </sheetViews>
  <sheetFormatPr defaultColWidth="9.140625" defaultRowHeight="12.75"/>
  <cols>
    <col min="2" max="2" width="33.00390625" style="0" bestFit="1" customWidth="1"/>
    <col min="3" max="3" width="11.8515625" style="0" customWidth="1"/>
    <col min="4" max="5" width="10.57421875" style="0" bestFit="1" customWidth="1"/>
    <col min="6" max="6" width="10.57421875" style="0" customWidth="1"/>
    <col min="7" max="7" width="11.28125" style="0" customWidth="1"/>
    <col min="8" max="8" width="2.140625" style="0" customWidth="1"/>
    <col min="9" max="11" width="12.8515625" style="0" customWidth="1"/>
    <col min="12" max="12" width="10.57421875" style="0" bestFit="1" customWidth="1"/>
  </cols>
  <sheetData>
    <row r="2" ht="12.75">
      <c r="B2" s="15" t="s">
        <v>446</v>
      </c>
    </row>
    <row r="4" spans="9:11" ht="12.75">
      <c r="I4" s="73" t="s">
        <v>163</v>
      </c>
      <c r="J4" s="73"/>
      <c r="K4" s="73"/>
    </row>
    <row r="5" spans="3:6" ht="12.75">
      <c r="C5" s="50" t="s">
        <v>157</v>
      </c>
      <c r="D5" s="50" t="s">
        <v>159</v>
      </c>
      <c r="E5" s="50" t="s">
        <v>160</v>
      </c>
      <c r="F5" s="50"/>
    </row>
    <row r="6" spans="3:12" ht="12.75">
      <c r="C6" s="11" t="s">
        <v>156</v>
      </c>
      <c r="F6" s="11" t="s">
        <v>445</v>
      </c>
      <c r="J6" s="23"/>
      <c r="L6" s="11" t="s">
        <v>445</v>
      </c>
    </row>
    <row r="7" spans="3:12" ht="12.75">
      <c r="C7" s="1" t="s">
        <v>164</v>
      </c>
      <c r="D7" s="1" t="s">
        <v>0</v>
      </c>
      <c r="E7" s="1" t="s">
        <v>158</v>
      </c>
      <c r="F7" s="1" t="s">
        <v>444</v>
      </c>
      <c r="G7" s="1" t="s">
        <v>3</v>
      </c>
      <c r="I7" s="1" t="s">
        <v>164</v>
      </c>
      <c r="J7" s="1" t="s">
        <v>0</v>
      </c>
      <c r="K7" s="1" t="s">
        <v>158</v>
      </c>
      <c r="L7" s="1" t="s">
        <v>444</v>
      </c>
    </row>
    <row r="8" spans="5:10" ht="12.75">
      <c r="E8" s="23"/>
      <c r="F8" s="23"/>
      <c r="J8" s="23"/>
    </row>
    <row r="9" spans="2:12" ht="12.75">
      <c r="B9" s="49" t="s">
        <v>125</v>
      </c>
      <c r="C9" s="23">
        <v>1587718.5</v>
      </c>
      <c r="D9" s="23">
        <v>0</v>
      </c>
      <c r="E9" s="23">
        <v>0</v>
      </c>
      <c r="F9" s="23">
        <v>360000</v>
      </c>
      <c r="G9" s="23">
        <f>SUM(C9:F9)</f>
        <v>1947718.5</v>
      </c>
      <c r="I9" s="51">
        <f>+C9/$G$29</f>
        <v>0.3935280837446043</v>
      </c>
      <c r="J9" s="51">
        <f aca="true" t="shared" si="0" ref="J9:J27">+D9/$G$29</f>
        <v>0</v>
      </c>
      <c r="K9" s="51">
        <f aca="true" t="shared" si="1" ref="K9:L27">+E9/$G$29</f>
        <v>0</v>
      </c>
      <c r="L9" s="51">
        <f t="shared" si="1"/>
        <v>0.08922873302040478</v>
      </c>
    </row>
    <row r="10" spans="2:12" ht="12.75">
      <c r="B10" s="49" t="s">
        <v>437</v>
      </c>
      <c r="C10" s="23">
        <v>1536897.68</v>
      </c>
      <c r="D10" s="23">
        <f>2710*1.1</f>
        <v>2981.0000000000005</v>
      </c>
      <c r="E10" s="23">
        <v>5426.103000000002</v>
      </c>
      <c r="F10" s="23">
        <v>0</v>
      </c>
      <c r="G10" s="23">
        <f aca="true" t="shared" si="2" ref="G10:G27">SUM(C10:F10)</f>
        <v>1545304.7829999998</v>
      </c>
      <c r="I10" s="51">
        <f aca="true" t="shared" si="3" ref="I10:I27">+C10/$G$29</f>
        <v>0.3809317576899986</v>
      </c>
      <c r="J10" s="51">
        <f t="shared" si="0"/>
        <v>0.0007388634809272963</v>
      </c>
      <c r="K10" s="51">
        <f t="shared" si="1"/>
        <v>0.0013449008220228265</v>
      </c>
      <c r="L10" s="51">
        <f t="shared" si="1"/>
        <v>0</v>
      </c>
    </row>
    <row r="11" spans="2:12" ht="12.75">
      <c r="B11" s="49" t="s">
        <v>120</v>
      </c>
      <c r="C11" s="23">
        <v>122855</v>
      </c>
      <c r="D11" s="23">
        <v>0</v>
      </c>
      <c r="E11" s="23">
        <v>0</v>
      </c>
      <c r="F11" s="23">
        <v>0</v>
      </c>
      <c r="G11" s="23">
        <f t="shared" si="2"/>
        <v>122855</v>
      </c>
      <c r="I11" s="51">
        <f t="shared" si="3"/>
        <v>0.030450544431171747</v>
      </c>
      <c r="J11" s="51">
        <f t="shared" si="0"/>
        <v>0</v>
      </c>
      <c r="K11" s="51">
        <f t="shared" si="1"/>
        <v>0</v>
      </c>
      <c r="L11" s="51">
        <f t="shared" si="1"/>
        <v>0</v>
      </c>
    </row>
    <row r="12" spans="2:12" ht="12.75">
      <c r="B12" s="19" t="s">
        <v>14</v>
      </c>
      <c r="C12" s="23">
        <v>0</v>
      </c>
      <c r="D12" s="23">
        <v>0</v>
      </c>
      <c r="E12" s="23">
        <v>88818.92699999995</v>
      </c>
      <c r="F12" s="23">
        <v>0</v>
      </c>
      <c r="G12" s="23">
        <f t="shared" si="2"/>
        <v>88818.92699999995</v>
      </c>
      <c r="I12" s="51">
        <f t="shared" si="3"/>
        <v>0</v>
      </c>
      <c r="J12" s="51">
        <f t="shared" si="0"/>
        <v>0</v>
      </c>
      <c r="K12" s="51">
        <f t="shared" si="1"/>
        <v>0.022014445345671714</v>
      </c>
      <c r="L12" s="51">
        <f t="shared" si="1"/>
        <v>0</v>
      </c>
    </row>
    <row r="13" spans="2:12" ht="12.75">
      <c r="B13" s="19" t="s">
        <v>438</v>
      </c>
      <c r="C13" s="23">
        <v>0</v>
      </c>
      <c r="D13" s="23">
        <v>0</v>
      </c>
      <c r="E13" s="23">
        <v>75612.47349999995</v>
      </c>
      <c r="F13" s="23">
        <v>0</v>
      </c>
      <c r="G13" s="23">
        <f t="shared" si="2"/>
        <v>75612.47349999995</v>
      </c>
      <c r="I13" s="51">
        <f t="shared" si="3"/>
        <v>0</v>
      </c>
      <c r="J13" s="51">
        <f t="shared" si="0"/>
        <v>0</v>
      </c>
      <c r="K13" s="51">
        <f t="shared" si="1"/>
        <v>0.01874112558595535</v>
      </c>
      <c r="L13" s="51">
        <f t="shared" si="1"/>
        <v>0</v>
      </c>
    </row>
    <row r="14" spans="2:12" ht="12.75">
      <c r="B14" s="16" t="s">
        <v>140</v>
      </c>
      <c r="C14" s="23">
        <v>0</v>
      </c>
      <c r="D14" s="23">
        <f>71995*1.1</f>
        <v>79194.5</v>
      </c>
      <c r="E14" s="23">
        <v>0</v>
      </c>
      <c r="F14" s="23">
        <v>0</v>
      </c>
      <c r="G14" s="23">
        <f t="shared" si="2"/>
        <v>79194.5</v>
      </c>
      <c r="I14" s="51">
        <f t="shared" si="3"/>
        <v>0</v>
      </c>
      <c r="J14" s="51">
        <f t="shared" si="0"/>
        <v>0.01962895804773457</v>
      </c>
      <c r="K14" s="51">
        <f t="shared" si="1"/>
        <v>0</v>
      </c>
      <c r="L14" s="51">
        <f t="shared" si="1"/>
        <v>0</v>
      </c>
    </row>
    <row r="15" spans="2:12" ht="12.75">
      <c r="B15" s="49" t="s">
        <v>162</v>
      </c>
      <c r="C15" s="23">
        <v>0</v>
      </c>
      <c r="D15" s="23">
        <f>142*1.1</f>
        <v>156.20000000000002</v>
      </c>
      <c r="E15" s="23">
        <v>38503.1405000001</v>
      </c>
      <c r="F15" s="23"/>
      <c r="G15" s="23">
        <f t="shared" si="2"/>
        <v>38659.3405000001</v>
      </c>
      <c r="I15" s="51">
        <f t="shared" si="3"/>
        <v>0</v>
      </c>
      <c r="J15" s="51">
        <f t="shared" si="0"/>
        <v>3.8715355827186744E-05</v>
      </c>
      <c r="K15" s="51">
        <f t="shared" si="1"/>
        <v>0.009543295678115677</v>
      </c>
      <c r="L15" s="51">
        <f t="shared" si="1"/>
        <v>0</v>
      </c>
    </row>
    <row r="16" spans="2:12" ht="12.75">
      <c r="B16" s="19" t="s">
        <v>5</v>
      </c>
      <c r="C16" s="23">
        <v>0</v>
      </c>
      <c r="D16" s="23">
        <v>0</v>
      </c>
      <c r="E16" s="23">
        <v>36585.487</v>
      </c>
      <c r="F16" s="23">
        <v>0</v>
      </c>
      <c r="G16" s="23">
        <f t="shared" si="2"/>
        <v>36585.487</v>
      </c>
      <c r="I16" s="51">
        <f t="shared" si="3"/>
        <v>0</v>
      </c>
      <c r="J16" s="51">
        <f t="shared" si="0"/>
        <v>0</v>
      </c>
      <c r="K16" s="51">
        <f t="shared" si="1"/>
        <v>0.009067990699845804</v>
      </c>
      <c r="L16" s="51">
        <f t="shared" si="1"/>
        <v>0</v>
      </c>
    </row>
    <row r="17" spans="2:12" ht="12.75">
      <c r="B17" s="19" t="s">
        <v>20</v>
      </c>
      <c r="C17" s="23">
        <v>0</v>
      </c>
      <c r="D17" s="23">
        <v>0</v>
      </c>
      <c r="E17" s="23">
        <v>28284.380999999987</v>
      </c>
      <c r="F17" s="23">
        <v>0</v>
      </c>
      <c r="G17" s="23">
        <f t="shared" si="2"/>
        <v>28284.380999999987</v>
      </c>
      <c r="I17" s="51">
        <f t="shared" si="3"/>
        <v>0</v>
      </c>
      <c r="J17" s="51">
        <f t="shared" si="0"/>
        <v>0</v>
      </c>
      <c r="K17" s="51">
        <f t="shared" si="1"/>
        <v>0.007010498558045579</v>
      </c>
      <c r="L17" s="51">
        <f t="shared" si="1"/>
        <v>0</v>
      </c>
    </row>
    <row r="18" spans="2:12" ht="12.75">
      <c r="B18" t="s">
        <v>15</v>
      </c>
      <c r="C18" s="23">
        <v>0</v>
      </c>
      <c r="D18" s="23">
        <f>17195*1.1</f>
        <v>18914.5</v>
      </c>
      <c r="E18" s="23">
        <v>266.98900000000003</v>
      </c>
      <c r="F18" s="23">
        <v>0</v>
      </c>
      <c r="G18" s="23">
        <f t="shared" si="2"/>
        <v>19181.489</v>
      </c>
      <c r="I18" s="51">
        <f t="shared" si="3"/>
        <v>0</v>
      </c>
      <c r="J18" s="51">
        <f t="shared" si="0"/>
        <v>0.004688102418651239</v>
      </c>
      <c r="K18" s="51">
        <f t="shared" si="1"/>
        <v>6.61752505566246E-05</v>
      </c>
      <c r="L18" s="51">
        <f t="shared" si="1"/>
        <v>0</v>
      </c>
    </row>
    <row r="19" spans="2:12" ht="12.75">
      <c r="B19" s="19" t="s">
        <v>16</v>
      </c>
      <c r="C19" s="23">
        <v>0</v>
      </c>
      <c r="D19" s="23">
        <v>0</v>
      </c>
      <c r="E19" s="23">
        <v>15060.2925</v>
      </c>
      <c r="F19" s="23">
        <v>0</v>
      </c>
      <c r="G19" s="23">
        <f t="shared" si="2"/>
        <v>15060.2925</v>
      </c>
      <c r="I19" s="51">
        <f t="shared" si="3"/>
        <v>0</v>
      </c>
      <c r="J19" s="51">
        <f t="shared" si="0"/>
        <v>0</v>
      </c>
      <c r="K19" s="51">
        <f t="shared" si="1"/>
        <v>0.0037328078296991786</v>
      </c>
      <c r="L19" s="51">
        <f t="shared" si="1"/>
        <v>0</v>
      </c>
    </row>
    <row r="20" spans="2:12" ht="12.75">
      <c r="B20" s="16" t="s">
        <v>137</v>
      </c>
      <c r="C20" s="23">
        <v>0</v>
      </c>
      <c r="D20" s="23">
        <f>1944*1.1</f>
        <v>2138.4</v>
      </c>
      <c r="E20" s="23">
        <v>9399.064499999999</v>
      </c>
      <c r="F20" s="23">
        <v>0</v>
      </c>
      <c r="G20" s="23">
        <f t="shared" si="2"/>
        <v>11537.464499999998</v>
      </c>
      <c r="I20" s="51">
        <f t="shared" si="3"/>
        <v>0</v>
      </c>
      <c r="J20" s="51">
        <f t="shared" si="0"/>
        <v>0.0005300186741412044</v>
      </c>
      <c r="K20" s="51">
        <f t="shared" si="1"/>
        <v>0.0023296294914224003</v>
      </c>
      <c r="L20" s="51">
        <f t="shared" si="1"/>
        <v>0</v>
      </c>
    </row>
    <row r="21" spans="2:12" ht="12.75">
      <c r="B21" t="s">
        <v>439</v>
      </c>
      <c r="C21" s="23">
        <v>142</v>
      </c>
      <c r="D21" s="23">
        <f>1703*1.1</f>
        <v>1873.3000000000002</v>
      </c>
      <c r="E21" s="23">
        <v>4730.838</v>
      </c>
      <c r="F21" s="23">
        <v>0</v>
      </c>
      <c r="G21" s="23">
        <f t="shared" si="2"/>
        <v>6746.138</v>
      </c>
      <c r="I21" s="51">
        <f t="shared" si="3"/>
        <v>3.5195778024715214E-05</v>
      </c>
      <c r="J21" s="51">
        <f t="shared" si="0"/>
        <v>0.00046431162657534523</v>
      </c>
      <c r="K21" s="51">
        <f t="shared" si="1"/>
        <v>0.0011725741135132936</v>
      </c>
      <c r="L21" s="51">
        <f t="shared" si="1"/>
        <v>0</v>
      </c>
    </row>
    <row r="22" spans="2:12" ht="12.75">
      <c r="B22" s="16" t="s">
        <v>139</v>
      </c>
      <c r="C22" s="23">
        <v>0</v>
      </c>
      <c r="D22" s="23">
        <f>4799*1.1</f>
        <v>5278.900000000001</v>
      </c>
      <c r="E22" s="23">
        <v>0</v>
      </c>
      <c r="F22" s="23">
        <v>0</v>
      </c>
      <c r="G22" s="23">
        <f t="shared" si="2"/>
        <v>5278.900000000001</v>
      </c>
      <c r="I22" s="51">
        <f t="shared" si="3"/>
        <v>0</v>
      </c>
      <c r="J22" s="51">
        <f t="shared" si="0"/>
        <v>0.0013084154409483744</v>
      </c>
      <c r="K22" s="51">
        <f t="shared" si="1"/>
        <v>0</v>
      </c>
      <c r="L22" s="51">
        <f t="shared" si="1"/>
        <v>0</v>
      </c>
    </row>
    <row r="23" spans="2:12" ht="12.75">
      <c r="B23" s="49" t="s">
        <v>161</v>
      </c>
      <c r="C23" s="23">
        <v>0</v>
      </c>
      <c r="D23" s="23">
        <f>3765*1.1</f>
        <v>4141.5</v>
      </c>
      <c r="E23" s="23">
        <v>0</v>
      </c>
      <c r="F23" s="23">
        <v>0</v>
      </c>
      <c r="G23" s="23">
        <f t="shared" si="2"/>
        <v>4141.5</v>
      </c>
      <c r="I23" s="51">
        <f t="shared" si="3"/>
        <v>0</v>
      </c>
      <c r="J23" s="51">
        <f t="shared" si="0"/>
        <v>0.00102650221612224</v>
      </c>
      <c r="K23" s="51">
        <f t="shared" si="1"/>
        <v>0</v>
      </c>
      <c r="L23" s="51">
        <f t="shared" si="1"/>
        <v>0</v>
      </c>
    </row>
    <row r="24" spans="2:12" ht="12.75">
      <c r="B24" t="s">
        <v>6</v>
      </c>
      <c r="C24" s="23">
        <v>0</v>
      </c>
      <c r="D24" s="23">
        <v>0</v>
      </c>
      <c r="E24" s="23">
        <v>2796.7670000000007</v>
      </c>
      <c r="F24" s="23"/>
      <c r="G24" s="23">
        <f t="shared" si="2"/>
        <v>2796.7670000000007</v>
      </c>
      <c r="I24" s="51">
        <f t="shared" si="3"/>
        <v>0</v>
      </c>
      <c r="J24" s="51">
        <f t="shared" si="0"/>
        <v>0</v>
      </c>
      <c r="K24" s="51">
        <f t="shared" si="1"/>
        <v>0.000693199933231329</v>
      </c>
      <c r="L24" s="51">
        <f t="shared" si="1"/>
        <v>0</v>
      </c>
    </row>
    <row r="25" spans="2:12" ht="12.75">
      <c r="B25" s="16" t="s">
        <v>141</v>
      </c>
      <c r="C25" s="23">
        <v>0</v>
      </c>
      <c r="D25" s="23">
        <f>2761*1.1</f>
        <v>3037.1000000000004</v>
      </c>
      <c r="E25" s="23">
        <v>0</v>
      </c>
      <c r="F25" s="23">
        <v>0</v>
      </c>
      <c r="G25" s="23">
        <f t="shared" si="2"/>
        <v>3037.1000000000004</v>
      </c>
      <c r="I25" s="51">
        <f t="shared" si="3"/>
        <v>0</v>
      </c>
      <c r="J25" s="51">
        <f t="shared" si="0"/>
        <v>0.0007527682918229761</v>
      </c>
      <c r="K25" s="51">
        <f t="shared" si="1"/>
        <v>0</v>
      </c>
      <c r="L25" s="51">
        <f t="shared" si="1"/>
        <v>0</v>
      </c>
    </row>
    <row r="26" spans="2:12" ht="12.75">
      <c r="B26" t="s">
        <v>21</v>
      </c>
      <c r="C26" s="23">
        <v>0</v>
      </c>
      <c r="D26" s="23">
        <v>0</v>
      </c>
      <c r="E26" s="23">
        <v>2430.4759999999997</v>
      </c>
      <c r="F26" s="23">
        <v>0</v>
      </c>
      <c r="G26" s="23">
        <f t="shared" si="2"/>
        <v>2430.4759999999997</v>
      </c>
      <c r="I26" s="51">
        <f t="shared" si="3"/>
        <v>0</v>
      </c>
      <c r="J26" s="51">
        <f t="shared" si="0"/>
        <v>0</v>
      </c>
      <c r="K26" s="51">
        <f t="shared" si="1"/>
        <v>0.0006024119281013925</v>
      </c>
      <c r="L26" s="51">
        <f t="shared" si="1"/>
        <v>0</v>
      </c>
    </row>
    <row r="27" spans="2:12" ht="12.75">
      <c r="B27" t="s">
        <v>19</v>
      </c>
      <c r="C27" s="23">
        <v>0</v>
      </c>
      <c r="D27" s="23">
        <v>0</v>
      </c>
      <c r="E27" s="23">
        <v>1331.3069999999998</v>
      </c>
      <c r="F27" s="23">
        <v>0</v>
      </c>
      <c r="G27" s="23">
        <f t="shared" si="2"/>
        <v>1331.3069999999998</v>
      </c>
      <c r="I27" s="51">
        <f t="shared" si="3"/>
        <v>0</v>
      </c>
      <c r="J27" s="51">
        <f t="shared" si="0"/>
        <v>0</v>
      </c>
      <c r="K27" s="51">
        <f t="shared" si="1"/>
        <v>0.0003299745468644333</v>
      </c>
      <c r="L27" s="51">
        <f t="shared" si="1"/>
        <v>0</v>
      </c>
    </row>
    <row r="29" spans="2:12" ht="13.5" thickBot="1">
      <c r="B29" s="36" t="s">
        <v>3</v>
      </c>
      <c r="C29" s="26">
        <f>SUM(C9:C28)</f>
        <v>3247613.1799999997</v>
      </c>
      <c r="D29" s="26">
        <f>SUM(D9:D28)</f>
        <v>117715.4</v>
      </c>
      <c r="E29" s="26">
        <f>SUM(E9:E28)</f>
        <v>309246.2459999999</v>
      </c>
      <c r="F29" s="26">
        <f>SUM(F9:F28)</f>
        <v>360000</v>
      </c>
      <c r="G29" s="26">
        <f>SUM(G9:G28)</f>
        <v>4034574.8259999994</v>
      </c>
      <c r="I29" s="35">
        <f>+C29/$G$29</f>
        <v>0.8049455816437993</v>
      </c>
      <c r="J29" s="35">
        <f>+D29/$G$29</f>
        <v>0.02917665555275043</v>
      </c>
      <c r="K29" s="35">
        <f>+E29/$G$29</f>
        <v>0.0766490297830456</v>
      </c>
      <c r="L29" s="35">
        <f>+F29/$G$29</f>
        <v>0.08922873302040478</v>
      </c>
    </row>
    <row r="30" ht="12.75">
      <c r="B30" s="16"/>
    </row>
    <row r="32" ht="12.75">
      <c r="B32" s="15" t="s">
        <v>440</v>
      </c>
    </row>
    <row r="34" spans="2:7" ht="12.75">
      <c r="B34" t="s">
        <v>23</v>
      </c>
      <c r="C34" s="23">
        <v>0</v>
      </c>
      <c r="D34" s="23">
        <f>538*1.1</f>
        <v>591.8000000000001</v>
      </c>
      <c r="E34" s="23">
        <v>4351.487999999999</v>
      </c>
      <c r="F34" s="23">
        <v>0</v>
      </c>
      <c r="G34" s="23">
        <f aca="true" t="shared" si="4" ref="G34:G41">SUM(C34:E34)</f>
        <v>4943.288</v>
      </c>
    </row>
    <row r="35" spans="2:11" ht="12.75">
      <c r="B35" s="16" t="s">
        <v>146</v>
      </c>
      <c r="C35" s="23">
        <v>0</v>
      </c>
      <c r="D35" s="23">
        <f>676*1.1</f>
        <v>743.6</v>
      </c>
      <c r="E35" s="23">
        <v>0</v>
      </c>
      <c r="F35" s="23">
        <v>0</v>
      </c>
      <c r="G35" s="23">
        <f t="shared" si="4"/>
        <v>743.6</v>
      </c>
      <c r="I35" s="51"/>
      <c r="J35" s="51"/>
      <c r="K35" s="51"/>
    </row>
    <row r="36" spans="2:11" ht="12.75">
      <c r="B36" t="s">
        <v>8</v>
      </c>
      <c r="C36" s="23">
        <v>0</v>
      </c>
      <c r="D36" s="23">
        <v>0</v>
      </c>
      <c r="E36" s="23">
        <v>379.35</v>
      </c>
      <c r="F36" s="23">
        <v>0</v>
      </c>
      <c r="G36" s="23">
        <f t="shared" si="4"/>
        <v>379.35</v>
      </c>
      <c r="I36" s="51"/>
      <c r="J36" s="51"/>
      <c r="K36" s="51"/>
    </row>
    <row r="37" spans="2:11" ht="12.75">
      <c r="B37" s="16" t="s">
        <v>138</v>
      </c>
      <c r="C37" s="23">
        <v>0</v>
      </c>
      <c r="D37" s="23">
        <f>225*1.1</f>
        <v>247.50000000000003</v>
      </c>
      <c r="E37" s="23">
        <v>0</v>
      </c>
      <c r="F37" s="23">
        <v>0</v>
      </c>
      <c r="G37" s="23">
        <f t="shared" si="4"/>
        <v>247.50000000000003</v>
      </c>
      <c r="I37" s="51"/>
      <c r="J37" s="51"/>
      <c r="K37" s="51"/>
    </row>
    <row r="38" spans="2:11" ht="12.75">
      <c r="B38" s="16" t="s">
        <v>145</v>
      </c>
      <c r="C38" s="23">
        <v>0</v>
      </c>
      <c r="D38" s="23">
        <f>214*1.1</f>
        <v>235.4</v>
      </c>
      <c r="E38" s="23">
        <v>0</v>
      </c>
      <c r="F38" s="23">
        <v>0</v>
      </c>
      <c r="G38" s="23">
        <f t="shared" si="4"/>
        <v>235.4</v>
      </c>
      <c r="I38" s="51"/>
      <c r="J38" s="51"/>
      <c r="K38" s="51"/>
    </row>
    <row r="39" spans="2:11" ht="12.75">
      <c r="B39" s="49" t="s">
        <v>116</v>
      </c>
      <c r="C39" s="23">
        <v>142</v>
      </c>
      <c r="D39" s="23">
        <v>0</v>
      </c>
      <c r="E39" s="23">
        <v>0</v>
      </c>
      <c r="F39" s="23">
        <v>0</v>
      </c>
      <c r="G39" s="23">
        <f t="shared" si="4"/>
        <v>142</v>
      </c>
      <c r="I39" s="51"/>
      <c r="J39" s="51"/>
      <c r="K39" s="51"/>
    </row>
    <row r="40" spans="2:11" ht="12.75">
      <c r="B40" s="16" t="s">
        <v>143</v>
      </c>
      <c r="C40" s="23">
        <v>0</v>
      </c>
      <c r="D40" s="23">
        <f>50*1.1</f>
        <v>55.00000000000001</v>
      </c>
      <c r="E40" s="23">
        <v>0</v>
      </c>
      <c r="F40" s="23">
        <v>0</v>
      </c>
      <c r="G40" s="23">
        <f t="shared" si="4"/>
        <v>55.00000000000001</v>
      </c>
      <c r="I40" s="51"/>
      <c r="J40" s="51"/>
      <c r="K40" s="51"/>
    </row>
    <row r="41" spans="2:11" ht="12.75">
      <c r="B41" t="s">
        <v>144</v>
      </c>
      <c r="C41" s="23">
        <v>0</v>
      </c>
      <c r="D41" s="23">
        <v>0</v>
      </c>
      <c r="E41" s="23">
        <v>0</v>
      </c>
      <c r="F41" s="23">
        <v>0</v>
      </c>
      <c r="G41" s="23">
        <f t="shared" si="4"/>
        <v>0</v>
      </c>
      <c r="I41" s="51"/>
      <c r="J41" s="51"/>
      <c r="K41" s="51"/>
    </row>
    <row r="43" spans="2:7" ht="13.5" thickBot="1">
      <c r="B43" s="30" t="s">
        <v>447</v>
      </c>
      <c r="C43" s="26">
        <f>SUM(C34:C42)</f>
        <v>142</v>
      </c>
      <c r="D43" s="26">
        <f>SUM(D34:D42)</f>
        <v>1873.3000000000002</v>
      </c>
      <c r="E43" s="26">
        <f>SUM(E34:E42)</f>
        <v>4730.838</v>
      </c>
      <c r="F43" s="26">
        <f>SUM(F34:F42)</f>
        <v>0</v>
      </c>
      <c r="G43" s="26">
        <f>SUM(G34:G42)</f>
        <v>6746.138</v>
      </c>
    </row>
  </sheetData>
  <mergeCells count="1">
    <mergeCell ref="I4:K4"/>
  </mergeCells>
  <printOptions/>
  <pageMargins left="0.75" right="0.75" top="0.42" bottom="1" header="0.28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6"/>
  <sheetViews>
    <sheetView zoomScale="85" zoomScaleNormal="85" workbookViewId="0" topLeftCell="A1">
      <selection activeCell="B69" sqref="B69"/>
    </sheetView>
  </sheetViews>
  <sheetFormatPr defaultColWidth="9.140625" defaultRowHeight="12.75"/>
  <cols>
    <col min="2" max="2" width="23.140625" style="0" customWidth="1"/>
    <col min="3" max="4" width="10.57421875" style="0" bestFit="1" customWidth="1"/>
    <col min="5" max="5" width="13.140625" style="0" bestFit="1" customWidth="1"/>
    <col min="6" max="11" width="10.57421875" style="0" bestFit="1" customWidth="1"/>
    <col min="13" max="13" width="12.7109375" style="0" customWidth="1"/>
    <col min="14" max="14" width="13.140625" style="0" bestFit="1" customWidth="1"/>
  </cols>
  <sheetData>
    <row r="2" ht="12.75">
      <c r="B2" s="15" t="s">
        <v>114</v>
      </c>
    </row>
    <row r="5" ht="12.75">
      <c r="B5" s="15" t="s">
        <v>115</v>
      </c>
    </row>
    <row r="7" spans="2:11" ht="12.75">
      <c r="B7" s="1" t="s">
        <v>303</v>
      </c>
      <c r="C7" s="1">
        <v>1996</v>
      </c>
      <c r="D7" s="1">
        <v>1997</v>
      </c>
      <c r="E7" s="1">
        <v>1998</v>
      </c>
      <c r="F7" s="1">
        <v>1999</v>
      </c>
      <c r="G7" s="1">
        <v>2000</v>
      </c>
      <c r="H7" s="1">
        <v>2001</v>
      </c>
      <c r="I7" s="1">
        <v>2002</v>
      </c>
      <c r="J7" s="1">
        <v>2003</v>
      </c>
      <c r="K7" s="1">
        <v>2004</v>
      </c>
    </row>
    <row r="9" ht="12.75">
      <c r="B9" s="15" t="s">
        <v>116</v>
      </c>
    </row>
    <row r="10" spans="2:11" ht="12.75">
      <c r="B10" s="6" t="s">
        <v>117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1435</v>
      </c>
      <c r="I10" s="3">
        <v>0</v>
      </c>
      <c r="J10" s="3">
        <v>0</v>
      </c>
      <c r="K10" s="3">
        <v>142</v>
      </c>
    </row>
    <row r="11" spans="2:11" ht="12.75">
      <c r="B11" s="6" t="s">
        <v>118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2:11" ht="13.5" thickBot="1">
      <c r="B12" s="37" t="s">
        <v>119</v>
      </c>
      <c r="C12" s="22">
        <f>SUM(C10:C11)</f>
        <v>0</v>
      </c>
      <c r="D12" s="22">
        <f aca="true" t="shared" si="0" ref="D12:K12">SUM(D10:D11)</f>
        <v>0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1435</v>
      </c>
      <c r="I12" s="22">
        <f t="shared" si="0"/>
        <v>0</v>
      </c>
      <c r="J12" s="22">
        <f t="shared" si="0"/>
        <v>0</v>
      </c>
      <c r="K12" s="22">
        <f t="shared" si="0"/>
        <v>142</v>
      </c>
    </row>
    <row r="13" spans="3:11" ht="12.75">
      <c r="C13" s="3"/>
      <c r="D13" s="3"/>
      <c r="E13" s="3"/>
      <c r="F13" s="3"/>
      <c r="G13" s="3"/>
      <c r="H13" s="3"/>
      <c r="I13" s="3"/>
      <c r="J13" s="3"/>
      <c r="K13" s="3"/>
    </row>
    <row r="14" spans="2:11" ht="12.75">
      <c r="B14" s="15" t="s">
        <v>120</v>
      </c>
      <c r="C14" s="3"/>
      <c r="D14" s="3"/>
      <c r="E14" s="3"/>
      <c r="F14" s="3"/>
      <c r="G14" s="3"/>
      <c r="H14" s="3"/>
      <c r="I14" s="3"/>
      <c r="J14" s="3"/>
      <c r="K14" s="3"/>
    </row>
    <row r="15" spans="1:13" ht="12.75">
      <c r="A15" s="29"/>
      <c r="B15" s="6" t="s">
        <v>117</v>
      </c>
      <c r="C15" s="3">
        <v>80774</v>
      </c>
      <c r="D15" s="3">
        <v>92262</v>
      </c>
      <c r="E15" s="3">
        <v>95967</v>
      </c>
      <c r="F15" s="3">
        <v>96614</v>
      </c>
      <c r="G15" s="3">
        <v>108578</v>
      </c>
      <c r="H15" s="3">
        <v>123065</v>
      </c>
      <c r="I15" s="3">
        <v>92255</v>
      </c>
      <c r="J15" s="3">
        <v>145074</v>
      </c>
      <c r="K15" s="3">
        <v>122855</v>
      </c>
      <c r="M15" t="s">
        <v>121</v>
      </c>
    </row>
    <row r="16" spans="1:11" ht="12.75">
      <c r="A16" s="29"/>
      <c r="B16" s="6" t="s">
        <v>118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2:11" ht="13.5" thickBot="1">
      <c r="B17" s="37" t="s">
        <v>119</v>
      </c>
      <c r="C17" s="22">
        <f>SUM(C15:C16)</f>
        <v>80774</v>
      </c>
      <c r="D17" s="22">
        <f aca="true" t="shared" si="1" ref="D17:K17">SUM(D15:D16)</f>
        <v>92262</v>
      </c>
      <c r="E17" s="22">
        <f t="shared" si="1"/>
        <v>95967</v>
      </c>
      <c r="F17" s="22">
        <f t="shared" si="1"/>
        <v>96614</v>
      </c>
      <c r="G17" s="22">
        <f t="shared" si="1"/>
        <v>108578</v>
      </c>
      <c r="H17" s="22">
        <f t="shared" si="1"/>
        <v>123065</v>
      </c>
      <c r="I17" s="22">
        <f t="shared" si="1"/>
        <v>92255</v>
      </c>
      <c r="J17" s="22">
        <f t="shared" si="1"/>
        <v>145074</v>
      </c>
      <c r="K17" s="22">
        <f t="shared" si="1"/>
        <v>122855</v>
      </c>
    </row>
    <row r="18" spans="3:11" ht="12.75">
      <c r="C18" s="3"/>
      <c r="D18" s="3"/>
      <c r="E18" s="3"/>
      <c r="F18" s="3"/>
      <c r="G18" s="3"/>
      <c r="H18" s="3"/>
      <c r="I18" s="3"/>
      <c r="J18" s="3"/>
      <c r="K18" s="3"/>
    </row>
    <row r="19" spans="3:11" ht="12.75">
      <c r="C19" s="3"/>
      <c r="D19" s="3"/>
      <c r="E19" s="3"/>
      <c r="F19" s="3"/>
      <c r="G19" s="3"/>
      <c r="H19" s="3"/>
      <c r="I19" s="3"/>
      <c r="J19" s="3"/>
      <c r="K19" s="3"/>
    </row>
    <row r="20" spans="2:11" ht="12.75">
      <c r="B20" s="15" t="s">
        <v>122</v>
      </c>
      <c r="C20" s="3"/>
      <c r="D20" s="3"/>
      <c r="E20" s="3"/>
      <c r="F20" s="3"/>
      <c r="G20" s="3"/>
      <c r="H20" s="3"/>
      <c r="I20" s="3"/>
      <c r="J20" s="3"/>
      <c r="K20" s="3"/>
    </row>
    <row r="21" spans="2:11" ht="12.75">
      <c r="B21" s="6" t="s">
        <v>117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2" ht="12.75">
      <c r="B22" s="6" t="s">
        <v>118</v>
      </c>
      <c r="C22" s="3">
        <v>0</v>
      </c>
      <c r="D22" s="3">
        <v>0</v>
      </c>
      <c r="E22" s="3">
        <v>0</v>
      </c>
      <c r="F22" s="3">
        <v>0</v>
      </c>
      <c r="G22" s="3">
        <v>4956</v>
      </c>
      <c r="H22" s="3">
        <v>2495</v>
      </c>
      <c r="I22" s="3">
        <v>3344</v>
      </c>
      <c r="J22" s="3">
        <v>5591</v>
      </c>
      <c r="K22" s="3">
        <v>0</v>
      </c>
      <c r="L22" s="38"/>
    </row>
    <row r="23" spans="2:11" ht="13.5" thickBot="1">
      <c r="B23" s="37" t="s">
        <v>119</v>
      </c>
      <c r="C23" s="22">
        <f aca="true" t="shared" si="2" ref="C23:K23">SUM(C21:C22)</f>
        <v>0</v>
      </c>
      <c r="D23" s="22">
        <f t="shared" si="2"/>
        <v>0</v>
      </c>
      <c r="E23" s="22">
        <f t="shared" si="2"/>
        <v>0</v>
      </c>
      <c r="F23" s="22">
        <f t="shared" si="2"/>
        <v>0</v>
      </c>
      <c r="G23" s="22">
        <f t="shared" si="2"/>
        <v>4956</v>
      </c>
      <c r="H23" s="22">
        <f t="shared" si="2"/>
        <v>2495</v>
      </c>
      <c r="I23" s="22">
        <f t="shared" si="2"/>
        <v>3344</v>
      </c>
      <c r="J23" s="22">
        <f t="shared" si="2"/>
        <v>5591</v>
      </c>
      <c r="K23" s="22">
        <f t="shared" si="2"/>
        <v>0</v>
      </c>
    </row>
    <row r="24" spans="3:11" ht="12.75">
      <c r="C24" s="3"/>
      <c r="D24" s="3"/>
      <c r="E24" s="3"/>
      <c r="F24" s="3"/>
      <c r="G24" s="3"/>
      <c r="H24" s="3"/>
      <c r="I24" s="3"/>
      <c r="J24" s="3"/>
      <c r="K24" s="3"/>
    </row>
    <row r="25" spans="3:11" ht="12.75">
      <c r="C25" s="3"/>
      <c r="D25" s="3"/>
      <c r="E25" s="3"/>
      <c r="F25" s="3"/>
      <c r="G25" s="3"/>
      <c r="H25" s="3"/>
      <c r="I25" s="3"/>
      <c r="J25" s="3"/>
      <c r="K25" s="3"/>
    </row>
    <row r="26" spans="2:11" ht="12.75">
      <c r="B26" s="15" t="s">
        <v>123</v>
      </c>
      <c r="C26" s="3"/>
      <c r="D26" s="3"/>
      <c r="E26" s="3"/>
      <c r="F26" s="3"/>
      <c r="G26" s="3"/>
      <c r="H26" s="3"/>
      <c r="I26" s="3"/>
      <c r="J26" s="3"/>
      <c r="K26" s="3"/>
    </row>
    <row r="27" spans="2:11" ht="12.75">
      <c r="B27" s="6" t="s">
        <v>117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2:11" ht="12.75">
      <c r="B28" s="6" t="s">
        <v>118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2:11" ht="13.5" thickBot="1">
      <c r="B29" s="37" t="s">
        <v>119</v>
      </c>
      <c r="C29" s="22">
        <f aca="true" t="shared" si="3" ref="C29:K29">SUM(C27:C28)</f>
        <v>0</v>
      </c>
      <c r="D29" s="22">
        <f t="shared" si="3"/>
        <v>0</v>
      </c>
      <c r="E29" s="22">
        <f t="shared" si="3"/>
        <v>0</v>
      </c>
      <c r="F29" s="22">
        <f t="shared" si="3"/>
        <v>0</v>
      </c>
      <c r="G29" s="22">
        <f t="shared" si="3"/>
        <v>0</v>
      </c>
      <c r="H29" s="22">
        <f t="shared" si="3"/>
        <v>0</v>
      </c>
      <c r="I29" s="22">
        <f t="shared" si="3"/>
        <v>0</v>
      </c>
      <c r="J29" s="22">
        <f t="shared" si="3"/>
        <v>0</v>
      </c>
      <c r="K29" s="22">
        <f t="shared" si="3"/>
        <v>0</v>
      </c>
    </row>
    <row r="30" spans="3:11" ht="12.75">
      <c r="C30" s="3"/>
      <c r="D30" s="3"/>
      <c r="E30" s="3"/>
      <c r="F30" s="3"/>
      <c r="G30" s="3"/>
      <c r="H30" s="3"/>
      <c r="I30" s="3"/>
      <c r="J30" s="3"/>
      <c r="K30" s="3"/>
    </row>
    <row r="31" spans="3:11" ht="12.75">
      <c r="C31" s="3"/>
      <c r="D31" s="3"/>
      <c r="E31" s="3"/>
      <c r="F31" s="3"/>
      <c r="G31" s="3"/>
      <c r="H31" s="3"/>
      <c r="I31" s="3"/>
      <c r="J31" s="3"/>
      <c r="K31" s="3"/>
    </row>
    <row r="32" spans="2:11" ht="12.75">
      <c r="B32" s="15" t="s">
        <v>124</v>
      </c>
      <c r="C32" s="3"/>
      <c r="D32" s="3"/>
      <c r="E32" s="3"/>
      <c r="F32" s="3"/>
      <c r="G32" s="3"/>
      <c r="H32" s="3"/>
      <c r="I32" s="3"/>
      <c r="J32" s="3"/>
      <c r="K32" s="3"/>
    </row>
    <row r="33" spans="2:11" ht="12.75">
      <c r="B33" s="6" t="s">
        <v>117</v>
      </c>
      <c r="C33" s="3">
        <v>3390</v>
      </c>
      <c r="D33" s="3">
        <v>4316</v>
      </c>
      <c r="E33" s="3">
        <v>4038</v>
      </c>
      <c r="F33" s="3">
        <v>3813</v>
      </c>
      <c r="G33" s="3">
        <v>4784</v>
      </c>
      <c r="H33" s="3">
        <v>3473</v>
      </c>
      <c r="I33" s="3">
        <v>2963</v>
      </c>
      <c r="J33" s="3">
        <v>4534</v>
      </c>
      <c r="K33" s="3">
        <v>4148</v>
      </c>
    </row>
    <row r="34" spans="2:11" ht="12.75">
      <c r="B34" s="6" t="s">
        <v>118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2:11" ht="13.5" thickBot="1">
      <c r="B35" s="37" t="s">
        <v>119</v>
      </c>
      <c r="C35" s="22">
        <f aca="true" t="shared" si="4" ref="C35:K35">SUM(C33:C34)</f>
        <v>3390</v>
      </c>
      <c r="D35" s="22">
        <f t="shared" si="4"/>
        <v>4316</v>
      </c>
      <c r="E35" s="22">
        <f t="shared" si="4"/>
        <v>4038</v>
      </c>
      <c r="F35" s="22">
        <f t="shared" si="4"/>
        <v>3813</v>
      </c>
      <c r="G35" s="22">
        <f t="shared" si="4"/>
        <v>4784</v>
      </c>
      <c r="H35" s="22">
        <f t="shared" si="4"/>
        <v>3473</v>
      </c>
      <c r="I35" s="22">
        <f t="shared" si="4"/>
        <v>2963</v>
      </c>
      <c r="J35" s="22">
        <f t="shared" si="4"/>
        <v>4534</v>
      </c>
      <c r="K35" s="22">
        <f t="shared" si="4"/>
        <v>4148</v>
      </c>
    </row>
    <row r="38" ht="12.75">
      <c r="B38" s="15" t="s">
        <v>125</v>
      </c>
    </row>
    <row r="39" spans="1:13" ht="12.75">
      <c r="A39" s="29">
        <v>0.9</v>
      </c>
      <c r="B39" s="6" t="s">
        <v>117</v>
      </c>
      <c r="C39" s="3">
        <f>(1474496*A39)+1705</f>
        <v>1328751.4000000001</v>
      </c>
      <c r="D39" s="3">
        <f>1505583*A39</f>
        <v>1355024.7</v>
      </c>
      <c r="E39" s="3">
        <f>1567891*A39</f>
        <v>1411101.9000000001</v>
      </c>
      <c r="F39" s="3">
        <f>(1598392*A39)</f>
        <v>1438552.8</v>
      </c>
      <c r="G39" s="3">
        <f>(1604513*A39)+1409</f>
        <v>1445470.7</v>
      </c>
      <c r="H39" s="3">
        <f>1640390*A39</f>
        <v>1476351</v>
      </c>
      <c r="I39" s="3">
        <f>1609971*A39</f>
        <v>1448973.9000000001</v>
      </c>
      <c r="J39" s="3">
        <f>(1677041*A39)+1343</f>
        <v>1510679.9000000001</v>
      </c>
      <c r="K39" s="3">
        <f>(1760935*A39)+2877</f>
        <v>1587718.5</v>
      </c>
      <c r="M39" t="s">
        <v>126</v>
      </c>
    </row>
    <row r="40" spans="1:13" ht="12.75">
      <c r="A40" s="29">
        <v>0.1</v>
      </c>
      <c r="B40" s="6" t="s">
        <v>118</v>
      </c>
      <c r="C40" s="3">
        <f>1474496*A40</f>
        <v>147449.6</v>
      </c>
      <c r="D40" s="3">
        <f>1505583*A40</f>
        <v>150558.30000000002</v>
      </c>
      <c r="E40" s="3">
        <f>1567891*A40</f>
        <v>156789.1</v>
      </c>
      <c r="F40" s="3">
        <f>1598392*A40</f>
        <v>159839.2</v>
      </c>
      <c r="G40" s="3">
        <f>1604513*A40</f>
        <v>160451.30000000002</v>
      </c>
      <c r="H40" s="3">
        <f>1640390*A40</f>
        <v>164039</v>
      </c>
      <c r="I40" s="3">
        <f>1609971*A40</f>
        <v>160997.1</v>
      </c>
      <c r="J40" s="3">
        <f>1677041*A40</f>
        <v>167704.1</v>
      </c>
      <c r="K40" s="3">
        <f>1760935*A40</f>
        <v>176093.5</v>
      </c>
      <c r="M40" t="s">
        <v>127</v>
      </c>
    </row>
    <row r="41" spans="2:11" ht="13.5" thickBot="1">
      <c r="B41" s="37" t="s">
        <v>119</v>
      </c>
      <c r="C41" s="22">
        <f aca="true" t="shared" si="5" ref="C41:K41">SUM(C39:C40)</f>
        <v>1476201.0000000002</v>
      </c>
      <c r="D41" s="22">
        <f t="shared" si="5"/>
        <v>1505583</v>
      </c>
      <c r="E41" s="22">
        <f t="shared" si="5"/>
        <v>1567891.0000000002</v>
      </c>
      <c r="F41" s="22">
        <f t="shared" si="5"/>
        <v>1598392</v>
      </c>
      <c r="G41" s="22">
        <f t="shared" si="5"/>
        <v>1605922</v>
      </c>
      <c r="H41" s="22">
        <f t="shared" si="5"/>
        <v>1640390</v>
      </c>
      <c r="I41" s="22">
        <f t="shared" si="5"/>
        <v>1609971.0000000002</v>
      </c>
      <c r="J41" s="22">
        <f t="shared" si="5"/>
        <v>1678384.0000000002</v>
      </c>
      <c r="K41" s="22">
        <f t="shared" si="5"/>
        <v>1763812</v>
      </c>
    </row>
    <row r="44" ht="12.75">
      <c r="B44" s="15" t="s">
        <v>128</v>
      </c>
    </row>
    <row r="45" spans="1:13" ht="12.75">
      <c r="A45" s="29">
        <v>0.56</v>
      </c>
      <c r="B45" s="6" t="s">
        <v>117</v>
      </c>
      <c r="C45" s="3">
        <f>1527904*A45</f>
        <v>855626.2400000001</v>
      </c>
      <c r="D45" s="3">
        <f>1713730*A45</f>
        <v>959688.8</v>
      </c>
      <c r="E45" s="3">
        <f>1279746*A45</f>
        <v>716657.7600000001</v>
      </c>
      <c r="F45" s="3">
        <f>948603*A45</f>
        <v>531217.68</v>
      </c>
      <c r="G45" s="3">
        <f>1069031*A45</f>
        <v>598657.3600000001</v>
      </c>
      <c r="H45" s="3">
        <f>1203471*A45</f>
        <v>673943.76</v>
      </c>
      <c r="I45" s="3">
        <f>1186022*A45</f>
        <v>664172.3200000001</v>
      </c>
      <c r="J45" s="3">
        <f>1240898*A45</f>
        <v>694902.8800000001</v>
      </c>
      <c r="K45" s="3">
        <f>1216896*A45</f>
        <v>681461.76</v>
      </c>
      <c r="M45" t="s">
        <v>129</v>
      </c>
    </row>
    <row r="46" spans="1:11" ht="12.75">
      <c r="A46" s="29">
        <v>0.44</v>
      </c>
      <c r="B46" s="6" t="s">
        <v>118</v>
      </c>
      <c r="C46" s="3">
        <f>1527904*A46</f>
        <v>672277.76</v>
      </c>
      <c r="D46" s="3">
        <f>1713730*A46</f>
        <v>754041.2</v>
      </c>
      <c r="E46" s="3">
        <f>1279746*A46</f>
        <v>563088.24</v>
      </c>
      <c r="F46" s="3">
        <f>948603*A46</f>
        <v>417385.32</v>
      </c>
      <c r="G46" s="3">
        <f>1069031*A46</f>
        <v>470373.64</v>
      </c>
      <c r="H46" s="3">
        <f>1203471*A46</f>
        <v>529527.24</v>
      </c>
      <c r="I46" s="3">
        <f>1186022*A46</f>
        <v>521849.68</v>
      </c>
      <c r="J46" s="3">
        <f>1240898*A46</f>
        <v>545995.12</v>
      </c>
      <c r="K46" s="3">
        <f>1216896*A46</f>
        <v>535434.24</v>
      </c>
    </row>
    <row r="47" spans="2:11" ht="13.5" thickBot="1">
      <c r="B47" s="37" t="s">
        <v>119</v>
      </c>
      <c r="C47" s="22">
        <f aca="true" t="shared" si="6" ref="C47:K47">SUM(C45:C46)</f>
        <v>1527904</v>
      </c>
      <c r="D47" s="22">
        <f t="shared" si="6"/>
        <v>1713730</v>
      </c>
      <c r="E47" s="22">
        <f t="shared" si="6"/>
        <v>1279746</v>
      </c>
      <c r="F47" s="22">
        <f t="shared" si="6"/>
        <v>948603</v>
      </c>
      <c r="G47" s="22">
        <f t="shared" si="6"/>
        <v>1069031</v>
      </c>
      <c r="H47" s="22">
        <f t="shared" si="6"/>
        <v>1203471</v>
      </c>
      <c r="I47" s="22">
        <f t="shared" si="6"/>
        <v>1186022</v>
      </c>
      <c r="J47" s="22">
        <f t="shared" si="6"/>
        <v>1240898</v>
      </c>
      <c r="K47" s="22">
        <f t="shared" si="6"/>
        <v>1216896</v>
      </c>
    </row>
    <row r="50" ht="12.75">
      <c r="B50" s="15" t="s">
        <v>130</v>
      </c>
    </row>
    <row r="51" spans="1:11" ht="12.75">
      <c r="A51" s="29">
        <v>0.56</v>
      </c>
      <c r="B51" s="6" t="s">
        <v>117</v>
      </c>
      <c r="C51" s="3">
        <v>0</v>
      </c>
      <c r="D51" s="3">
        <v>0</v>
      </c>
      <c r="E51" s="3">
        <v>0</v>
      </c>
      <c r="F51" s="3">
        <f>883408*A51</f>
        <v>494708.48000000004</v>
      </c>
      <c r="G51" s="3">
        <f>1034616*A51</f>
        <v>579384.9600000001</v>
      </c>
      <c r="H51" s="3">
        <f>1022794*A51</f>
        <v>572764.64</v>
      </c>
      <c r="I51" s="3">
        <f>1056113*A51</f>
        <v>591423.28</v>
      </c>
      <c r="J51" s="3">
        <f>1338148*A51</f>
        <v>749362.8800000001</v>
      </c>
      <c r="K51" s="3">
        <f>1520157*A51</f>
        <v>851287.92</v>
      </c>
    </row>
    <row r="52" spans="1:11" ht="12.75">
      <c r="A52" s="29">
        <v>0.44</v>
      </c>
      <c r="B52" s="6" t="s">
        <v>118</v>
      </c>
      <c r="C52" s="3">
        <v>0</v>
      </c>
      <c r="D52" s="3">
        <v>0</v>
      </c>
      <c r="E52" s="3">
        <v>0</v>
      </c>
      <c r="F52" s="3">
        <f>883408*A52</f>
        <v>388699.52</v>
      </c>
      <c r="G52" s="3">
        <f>1034616*A52</f>
        <v>455231.04</v>
      </c>
      <c r="H52" s="3">
        <f>1022794*A52</f>
        <v>450029.36</v>
      </c>
      <c r="I52" s="3">
        <f>1056113*A52</f>
        <v>464689.72000000003</v>
      </c>
      <c r="J52" s="3">
        <f>1338148*A52</f>
        <v>588785.12</v>
      </c>
      <c r="K52" s="3">
        <f>1520157*A52</f>
        <v>668869.08</v>
      </c>
    </row>
    <row r="53" spans="2:14" ht="13.5" thickBot="1">
      <c r="B53" s="37" t="s">
        <v>119</v>
      </c>
      <c r="C53" s="22">
        <f aca="true" t="shared" si="7" ref="C53:K53">SUM(C51:C52)</f>
        <v>0</v>
      </c>
      <c r="D53" s="22">
        <f t="shared" si="7"/>
        <v>0</v>
      </c>
      <c r="E53" s="22">
        <f t="shared" si="7"/>
        <v>0</v>
      </c>
      <c r="F53" s="22">
        <f t="shared" si="7"/>
        <v>883408</v>
      </c>
      <c r="G53" s="22">
        <f t="shared" si="7"/>
        <v>1034616</v>
      </c>
      <c r="H53" s="22">
        <f t="shared" si="7"/>
        <v>1022794</v>
      </c>
      <c r="I53" s="22">
        <f t="shared" si="7"/>
        <v>1056113</v>
      </c>
      <c r="J53" s="22">
        <f t="shared" si="7"/>
        <v>1338148</v>
      </c>
      <c r="K53" s="22">
        <f t="shared" si="7"/>
        <v>1520157</v>
      </c>
      <c r="M53" s="39"/>
      <c r="N53" s="38"/>
    </row>
    <row r="54" ht="12.75">
      <c r="M54" s="3"/>
    </row>
    <row r="56" ht="12.75">
      <c r="B56" s="15" t="s">
        <v>131</v>
      </c>
    </row>
    <row r="57" spans="2:15" ht="12.75">
      <c r="B57" s="6" t="s">
        <v>117</v>
      </c>
      <c r="C57" s="3">
        <f aca="true" t="shared" si="8" ref="C57:K58">+C51+C45+C39+C33+C27+C21+C15+C10</f>
        <v>2268541.64</v>
      </c>
      <c r="D57" s="3">
        <f t="shared" si="8"/>
        <v>2411291.5</v>
      </c>
      <c r="E57" s="3">
        <f t="shared" si="8"/>
        <v>2227764.66</v>
      </c>
      <c r="F57" s="3">
        <f t="shared" si="8"/>
        <v>2564905.96</v>
      </c>
      <c r="G57" s="3">
        <f t="shared" si="8"/>
        <v>2736875.0200000005</v>
      </c>
      <c r="H57" s="3">
        <f t="shared" si="8"/>
        <v>2851032.4</v>
      </c>
      <c r="I57" s="3">
        <f t="shared" si="8"/>
        <v>2799787.5</v>
      </c>
      <c r="J57" s="3">
        <f t="shared" si="8"/>
        <v>3104553.66</v>
      </c>
      <c r="K57" s="3">
        <f t="shared" si="8"/>
        <v>3247613.18</v>
      </c>
      <c r="M57" s="3"/>
      <c r="N57" s="38"/>
      <c r="O57" s="12"/>
    </row>
    <row r="58" spans="2:15" ht="12.75">
      <c r="B58" s="6" t="s">
        <v>118</v>
      </c>
      <c r="C58" s="3">
        <f t="shared" si="8"/>
        <v>819727.36</v>
      </c>
      <c r="D58" s="3">
        <f t="shared" si="8"/>
        <v>904599.5</v>
      </c>
      <c r="E58" s="3">
        <f t="shared" si="8"/>
        <v>719877.34</v>
      </c>
      <c r="F58" s="3">
        <f t="shared" si="8"/>
        <v>965924.04</v>
      </c>
      <c r="G58" s="3">
        <f t="shared" si="8"/>
        <v>1091011.98</v>
      </c>
      <c r="H58" s="3">
        <f t="shared" si="8"/>
        <v>1146090.6</v>
      </c>
      <c r="I58" s="3">
        <f t="shared" si="8"/>
        <v>1150880.5</v>
      </c>
      <c r="J58" s="3">
        <f t="shared" si="8"/>
        <v>1308075.34</v>
      </c>
      <c r="K58" s="3">
        <f t="shared" si="8"/>
        <v>1380396.8199999998</v>
      </c>
      <c r="M58" s="3"/>
      <c r="N58" s="38"/>
      <c r="O58" s="12"/>
    </row>
    <row r="59" spans="2:15" ht="13.5" thickBot="1">
      <c r="B59" s="37" t="s">
        <v>119</v>
      </c>
      <c r="C59" s="22">
        <f aca="true" t="shared" si="9" ref="C59:K59">SUM(C57:C58)</f>
        <v>3088269</v>
      </c>
      <c r="D59" s="22">
        <f t="shared" si="9"/>
        <v>3315891</v>
      </c>
      <c r="E59" s="22">
        <f t="shared" si="9"/>
        <v>2947642</v>
      </c>
      <c r="F59" s="22">
        <f t="shared" si="9"/>
        <v>3530830</v>
      </c>
      <c r="G59" s="22">
        <f t="shared" si="9"/>
        <v>3827887.0000000005</v>
      </c>
      <c r="H59" s="22">
        <f t="shared" si="9"/>
        <v>3997123</v>
      </c>
      <c r="I59" s="22">
        <f t="shared" si="9"/>
        <v>3950668</v>
      </c>
      <c r="J59" s="22">
        <f t="shared" si="9"/>
        <v>4412629</v>
      </c>
      <c r="K59" s="22">
        <f t="shared" si="9"/>
        <v>4628010</v>
      </c>
      <c r="M59" s="3"/>
      <c r="O59" s="12"/>
    </row>
    <row r="60" spans="13:15" ht="12.75">
      <c r="M60" s="3"/>
      <c r="O60" s="12"/>
    </row>
    <row r="61" spans="5:15" ht="12.75">
      <c r="E61" s="12"/>
      <c r="M61" s="3"/>
      <c r="O61" s="12"/>
    </row>
    <row r="62" spans="2:15" ht="12.75">
      <c r="B62" s="15" t="s">
        <v>132</v>
      </c>
      <c r="M62" s="3"/>
      <c r="O62" s="12"/>
    </row>
    <row r="63" spans="2:11" ht="12.75">
      <c r="B63" s="6" t="s">
        <v>117</v>
      </c>
      <c r="C63" s="29">
        <f>+C57/C59</f>
        <v>0.7345673709123137</v>
      </c>
      <c r="D63" s="29">
        <f aca="true" t="shared" si="10" ref="D63:K63">+D57/D59</f>
        <v>0.7271926308796037</v>
      </c>
      <c r="E63" s="29">
        <f t="shared" si="10"/>
        <v>0.7557785714818829</v>
      </c>
      <c r="F63" s="29">
        <f t="shared" si="10"/>
        <v>0.7264314509619552</v>
      </c>
      <c r="G63" s="29">
        <f t="shared" si="10"/>
        <v>0.7149832322636483</v>
      </c>
      <c r="H63" s="29">
        <f t="shared" si="10"/>
        <v>0.7132711202532421</v>
      </c>
      <c r="I63" s="29">
        <f t="shared" si="10"/>
        <v>0.7086871131666848</v>
      </c>
      <c r="J63" s="29">
        <f t="shared" si="10"/>
        <v>0.7035609973102203</v>
      </c>
      <c r="K63" s="29">
        <f t="shared" si="10"/>
        <v>0.7017299400822384</v>
      </c>
    </row>
    <row r="64" spans="2:11" ht="12.75">
      <c r="B64" s="6" t="s">
        <v>118</v>
      </c>
      <c r="C64" s="29">
        <f>+C58/C59</f>
        <v>0.26543262908768633</v>
      </c>
      <c r="D64" s="29">
        <f aca="true" t="shared" si="11" ref="D64:K64">+D58/D59</f>
        <v>0.27280736912039627</v>
      </c>
      <c r="E64" s="29">
        <f t="shared" si="11"/>
        <v>0.24422142851811718</v>
      </c>
      <c r="F64" s="29">
        <f t="shared" si="11"/>
        <v>0.2735685490380449</v>
      </c>
      <c r="G64" s="29">
        <f t="shared" si="11"/>
        <v>0.28501676773635165</v>
      </c>
      <c r="H64" s="29">
        <f t="shared" si="11"/>
        <v>0.28672887974675787</v>
      </c>
      <c r="I64" s="29">
        <f t="shared" si="11"/>
        <v>0.2913128868333153</v>
      </c>
      <c r="J64" s="29">
        <f t="shared" si="11"/>
        <v>0.29643900268977974</v>
      </c>
      <c r="K64" s="29">
        <f t="shared" si="11"/>
        <v>0.2982700599177616</v>
      </c>
    </row>
    <row r="65" spans="2:11" ht="13.5" thickBot="1">
      <c r="B65" s="37" t="s">
        <v>119</v>
      </c>
      <c r="C65" s="40">
        <f>SUM(C63:C64)</f>
        <v>1</v>
      </c>
      <c r="D65" s="40">
        <f aca="true" t="shared" si="12" ref="D65:K65">SUM(D63:D64)</f>
        <v>1</v>
      </c>
      <c r="E65" s="40">
        <f t="shared" si="12"/>
        <v>1</v>
      </c>
      <c r="F65" s="40">
        <f t="shared" si="12"/>
        <v>1</v>
      </c>
      <c r="G65" s="40">
        <f t="shared" si="12"/>
        <v>1</v>
      </c>
      <c r="H65" s="40">
        <f t="shared" si="12"/>
        <v>1</v>
      </c>
      <c r="I65" s="40">
        <f t="shared" si="12"/>
        <v>1</v>
      </c>
      <c r="J65" s="40">
        <f t="shared" si="12"/>
        <v>1</v>
      </c>
      <c r="K65" s="40">
        <f t="shared" si="12"/>
        <v>1</v>
      </c>
    </row>
    <row r="68" spans="2:5" ht="12.75">
      <c r="B68" s="15" t="s">
        <v>450</v>
      </c>
      <c r="E68" s="12"/>
    </row>
    <row r="70" spans="3:11" ht="12.75">
      <c r="C70" s="1">
        <v>1996</v>
      </c>
      <c r="D70" s="1">
        <v>1997</v>
      </c>
      <c r="E70" s="1">
        <v>1998</v>
      </c>
      <c r="F70" s="1">
        <v>1999</v>
      </c>
      <c r="G70" s="1">
        <v>2000</v>
      </c>
      <c r="H70" s="1">
        <v>2001</v>
      </c>
      <c r="I70" s="1">
        <v>2002</v>
      </c>
      <c r="J70" s="1">
        <v>2003</v>
      </c>
      <c r="K70" s="1">
        <v>2004</v>
      </c>
    </row>
    <row r="71" ht="12.75">
      <c r="B71" s="1" t="s">
        <v>133</v>
      </c>
    </row>
    <row r="72" spans="2:11" ht="12.75">
      <c r="B72" s="41" t="s">
        <v>116</v>
      </c>
      <c r="C72" s="23">
        <f>+C10</f>
        <v>0</v>
      </c>
      <c r="D72" s="23">
        <f aca="true" t="shared" si="13" ref="D72:K72">+D10</f>
        <v>0</v>
      </c>
      <c r="E72" s="23">
        <f t="shared" si="13"/>
        <v>0</v>
      </c>
      <c r="F72" s="23">
        <f t="shared" si="13"/>
        <v>0</v>
      </c>
      <c r="G72" s="23">
        <f t="shared" si="13"/>
        <v>0</v>
      </c>
      <c r="H72" s="23">
        <f t="shared" si="13"/>
        <v>1435</v>
      </c>
      <c r="I72" s="23">
        <f t="shared" si="13"/>
        <v>0</v>
      </c>
      <c r="J72" s="23">
        <f t="shared" si="13"/>
        <v>0</v>
      </c>
      <c r="K72" s="23">
        <f t="shared" si="13"/>
        <v>142</v>
      </c>
    </row>
    <row r="73" spans="2:11" ht="12.75">
      <c r="B73" s="41" t="s">
        <v>120</v>
      </c>
      <c r="C73" s="23">
        <f>+C15</f>
        <v>80774</v>
      </c>
      <c r="D73" s="23">
        <f aca="true" t="shared" si="14" ref="D73:K73">+D15</f>
        <v>92262</v>
      </c>
      <c r="E73" s="23">
        <f t="shared" si="14"/>
        <v>95967</v>
      </c>
      <c r="F73" s="23">
        <f t="shared" si="14"/>
        <v>96614</v>
      </c>
      <c r="G73" s="23">
        <f t="shared" si="14"/>
        <v>108578</v>
      </c>
      <c r="H73" s="23">
        <f t="shared" si="14"/>
        <v>123065</v>
      </c>
      <c r="I73" s="23">
        <f t="shared" si="14"/>
        <v>92255</v>
      </c>
      <c r="J73" s="23">
        <f t="shared" si="14"/>
        <v>145074</v>
      </c>
      <c r="K73" s="23">
        <f t="shared" si="14"/>
        <v>122855</v>
      </c>
    </row>
    <row r="74" spans="2:11" ht="12.75">
      <c r="B74" s="41" t="s">
        <v>122</v>
      </c>
      <c r="C74" s="23">
        <f>+C21</f>
        <v>0</v>
      </c>
      <c r="D74" s="23">
        <f aca="true" t="shared" si="15" ref="D74:K74">+D21</f>
        <v>0</v>
      </c>
      <c r="E74" s="23">
        <f t="shared" si="15"/>
        <v>0</v>
      </c>
      <c r="F74" s="23">
        <f t="shared" si="15"/>
        <v>0</v>
      </c>
      <c r="G74" s="23">
        <f t="shared" si="15"/>
        <v>0</v>
      </c>
      <c r="H74" s="23">
        <f t="shared" si="15"/>
        <v>0</v>
      </c>
      <c r="I74" s="23">
        <f t="shared" si="15"/>
        <v>0</v>
      </c>
      <c r="J74" s="23">
        <f t="shared" si="15"/>
        <v>0</v>
      </c>
      <c r="K74" s="23">
        <f t="shared" si="15"/>
        <v>0</v>
      </c>
    </row>
    <row r="75" spans="2:11" ht="12.75">
      <c r="B75" s="41" t="s">
        <v>123</v>
      </c>
      <c r="C75" s="23">
        <f>+C27</f>
        <v>0</v>
      </c>
      <c r="D75" s="23">
        <f aca="true" t="shared" si="16" ref="D75:K75">+D27</f>
        <v>0</v>
      </c>
      <c r="E75" s="23">
        <f t="shared" si="16"/>
        <v>0</v>
      </c>
      <c r="F75" s="23">
        <f t="shared" si="16"/>
        <v>0</v>
      </c>
      <c r="G75" s="23">
        <f t="shared" si="16"/>
        <v>0</v>
      </c>
      <c r="H75" s="23">
        <f t="shared" si="16"/>
        <v>0</v>
      </c>
      <c r="I75" s="23">
        <f t="shared" si="16"/>
        <v>0</v>
      </c>
      <c r="J75" s="23">
        <f t="shared" si="16"/>
        <v>0</v>
      </c>
      <c r="K75" s="23">
        <f t="shared" si="16"/>
        <v>0</v>
      </c>
    </row>
    <row r="76" spans="2:11" ht="12.75">
      <c r="B76" s="41" t="s">
        <v>124</v>
      </c>
      <c r="C76" s="23">
        <f>+C33</f>
        <v>3390</v>
      </c>
      <c r="D76" s="23">
        <f aca="true" t="shared" si="17" ref="D76:K76">+D33</f>
        <v>4316</v>
      </c>
      <c r="E76" s="23">
        <f t="shared" si="17"/>
        <v>4038</v>
      </c>
      <c r="F76" s="23">
        <f t="shared" si="17"/>
        <v>3813</v>
      </c>
      <c r="G76" s="23">
        <f t="shared" si="17"/>
        <v>4784</v>
      </c>
      <c r="H76" s="23">
        <f t="shared" si="17"/>
        <v>3473</v>
      </c>
      <c r="I76" s="23">
        <f t="shared" si="17"/>
        <v>2963</v>
      </c>
      <c r="J76" s="23">
        <f t="shared" si="17"/>
        <v>4534</v>
      </c>
      <c r="K76" s="23">
        <f t="shared" si="17"/>
        <v>4148</v>
      </c>
    </row>
    <row r="77" spans="2:11" ht="12.75">
      <c r="B77" s="41" t="s">
        <v>125</v>
      </c>
      <c r="C77" s="23">
        <f>+C39</f>
        <v>1328751.4000000001</v>
      </c>
      <c r="D77" s="23">
        <f aca="true" t="shared" si="18" ref="D77:K77">+D39</f>
        <v>1355024.7</v>
      </c>
      <c r="E77" s="23">
        <f t="shared" si="18"/>
        <v>1411101.9000000001</v>
      </c>
      <c r="F77" s="23">
        <f t="shared" si="18"/>
        <v>1438552.8</v>
      </c>
      <c r="G77" s="23">
        <f t="shared" si="18"/>
        <v>1445470.7</v>
      </c>
      <c r="H77" s="23">
        <f t="shared" si="18"/>
        <v>1476351</v>
      </c>
      <c r="I77" s="23">
        <f t="shared" si="18"/>
        <v>1448973.9000000001</v>
      </c>
      <c r="J77" s="23">
        <f t="shared" si="18"/>
        <v>1510679.9000000001</v>
      </c>
      <c r="K77" s="23">
        <f t="shared" si="18"/>
        <v>1587718.5</v>
      </c>
    </row>
    <row r="78" spans="2:11" ht="12.75">
      <c r="B78" s="41" t="s">
        <v>128</v>
      </c>
      <c r="C78" s="23">
        <f>+C45</f>
        <v>855626.2400000001</v>
      </c>
      <c r="D78" s="23">
        <f aca="true" t="shared" si="19" ref="D78:K78">+D45</f>
        <v>959688.8</v>
      </c>
      <c r="E78" s="23">
        <f t="shared" si="19"/>
        <v>716657.7600000001</v>
      </c>
      <c r="F78" s="23">
        <f t="shared" si="19"/>
        <v>531217.68</v>
      </c>
      <c r="G78" s="23">
        <f t="shared" si="19"/>
        <v>598657.3600000001</v>
      </c>
      <c r="H78" s="23">
        <f t="shared" si="19"/>
        <v>673943.76</v>
      </c>
      <c r="I78" s="23">
        <f t="shared" si="19"/>
        <v>664172.3200000001</v>
      </c>
      <c r="J78" s="23">
        <f t="shared" si="19"/>
        <v>694902.8800000001</v>
      </c>
      <c r="K78" s="23">
        <f t="shared" si="19"/>
        <v>681461.76</v>
      </c>
    </row>
    <row r="79" spans="2:11" ht="12.75">
      <c r="B79" s="41" t="s">
        <v>130</v>
      </c>
      <c r="C79" s="23">
        <f>+C51</f>
        <v>0</v>
      </c>
      <c r="D79" s="23">
        <f aca="true" t="shared" si="20" ref="D79:K79">+D51</f>
        <v>0</v>
      </c>
      <c r="E79" s="23">
        <f t="shared" si="20"/>
        <v>0</v>
      </c>
      <c r="F79" s="23">
        <f t="shared" si="20"/>
        <v>494708.48000000004</v>
      </c>
      <c r="G79" s="23">
        <f t="shared" si="20"/>
        <v>579384.9600000001</v>
      </c>
      <c r="H79" s="23">
        <f t="shared" si="20"/>
        <v>572764.64</v>
      </c>
      <c r="I79" s="23">
        <f t="shared" si="20"/>
        <v>591423.28</v>
      </c>
      <c r="J79" s="23">
        <f t="shared" si="20"/>
        <v>749362.8800000001</v>
      </c>
      <c r="K79" s="23">
        <f t="shared" si="20"/>
        <v>851287.92</v>
      </c>
    </row>
    <row r="80" ht="12.75">
      <c r="B80" s="41"/>
    </row>
    <row r="81" spans="2:11" ht="13.5" thickBot="1">
      <c r="B81" s="27" t="s">
        <v>134</v>
      </c>
      <c r="C81" s="26">
        <f>SUM(C72:C80)</f>
        <v>2268541.64</v>
      </c>
      <c r="D81" s="26">
        <f aca="true" t="shared" si="21" ref="D81:K81">SUM(D72:D80)</f>
        <v>2411291.5</v>
      </c>
      <c r="E81" s="26">
        <f t="shared" si="21"/>
        <v>2227764.66</v>
      </c>
      <c r="F81" s="26">
        <f t="shared" si="21"/>
        <v>2564905.96</v>
      </c>
      <c r="G81" s="26">
        <f t="shared" si="21"/>
        <v>2736875.02</v>
      </c>
      <c r="H81" s="26">
        <f t="shared" si="21"/>
        <v>2851032.4</v>
      </c>
      <c r="I81" s="26">
        <f t="shared" si="21"/>
        <v>2799787.5</v>
      </c>
      <c r="J81" s="26">
        <f t="shared" si="21"/>
        <v>3104553.66</v>
      </c>
      <c r="K81" s="26">
        <f t="shared" si="21"/>
        <v>3247613.1799999997</v>
      </c>
    </row>
    <row r="82" ht="12.75">
      <c r="B82" s="41"/>
    </row>
    <row r="83" spans="2:11" ht="12.75">
      <c r="B83" s="41" t="s">
        <v>116</v>
      </c>
      <c r="C83" s="23">
        <f>+C11</f>
        <v>0</v>
      </c>
      <c r="D83" s="23">
        <f aca="true" t="shared" si="22" ref="D83:K83">+D11</f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</v>
      </c>
      <c r="I83" s="23">
        <f t="shared" si="22"/>
        <v>0</v>
      </c>
      <c r="J83" s="23">
        <f t="shared" si="22"/>
        <v>0</v>
      </c>
      <c r="K83" s="23">
        <f t="shared" si="22"/>
        <v>0</v>
      </c>
    </row>
    <row r="84" spans="2:11" ht="12.75">
      <c r="B84" s="41" t="s">
        <v>120</v>
      </c>
      <c r="C84" s="23">
        <f>+C16</f>
        <v>0</v>
      </c>
      <c r="D84" s="23">
        <f aca="true" t="shared" si="23" ref="D84:K84">+D16</f>
        <v>0</v>
      </c>
      <c r="E84" s="23">
        <f t="shared" si="23"/>
        <v>0</v>
      </c>
      <c r="F84" s="23">
        <f t="shared" si="23"/>
        <v>0</v>
      </c>
      <c r="G84" s="23">
        <f t="shared" si="23"/>
        <v>0</v>
      </c>
      <c r="H84" s="23">
        <f t="shared" si="23"/>
        <v>0</v>
      </c>
      <c r="I84" s="23">
        <f t="shared" si="23"/>
        <v>0</v>
      </c>
      <c r="J84" s="23">
        <f t="shared" si="23"/>
        <v>0</v>
      </c>
      <c r="K84" s="23">
        <f t="shared" si="23"/>
        <v>0</v>
      </c>
    </row>
    <row r="85" spans="2:11" ht="12.75">
      <c r="B85" s="41" t="s">
        <v>122</v>
      </c>
      <c r="C85" s="23">
        <f>+C22</f>
        <v>0</v>
      </c>
      <c r="D85" s="23">
        <f aca="true" t="shared" si="24" ref="D85:K85">+D22</f>
        <v>0</v>
      </c>
      <c r="E85" s="23">
        <f t="shared" si="24"/>
        <v>0</v>
      </c>
      <c r="F85" s="23">
        <f t="shared" si="24"/>
        <v>0</v>
      </c>
      <c r="G85" s="23">
        <f t="shared" si="24"/>
        <v>4956</v>
      </c>
      <c r="H85" s="23">
        <f t="shared" si="24"/>
        <v>2495</v>
      </c>
      <c r="I85" s="23">
        <f t="shared" si="24"/>
        <v>3344</v>
      </c>
      <c r="J85" s="23">
        <f t="shared" si="24"/>
        <v>5591</v>
      </c>
      <c r="K85" s="23">
        <f t="shared" si="24"/>
        <v>0</v>
      </c>
    </row>
    <row r="86" spans="2:11" ht="12.75">
      <c r="B86" s="41" t="s">
        <v>123</v>
      </c>
      <c r="C86" s="23">
        <f>+C28</f>
        <v>0</v>
      </c>
      <c r="D86" s="23">
        <f aca="true" t="shared" si="25" ref="D86:K86">+D28</f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</row>
    <row r="87" spans="2:11" ht="12.75">
      <c r="B87" s="41" t="s">
        <v>124</v>
      </c>
      <c r="C87" s="23">
        <f>+C34</f>
        <v>0</v>
      </c>
      <c r="D87" s="23">
        <f aca="true" t="shared" si="26" ref="D87:K87">+D34</f>
        <v>0</v>
      </c>
      <c r="E87" s="23">
        <f t="shared" si="26"/>
        <v>0</v>
      </c>
      <c r="F87" s="23">
        <f t="shared" si="26"/>
        <v>0</v>
      </c>
      <c r="G87" s="23">
        <f t="shared" si="26"/>
        <v>0</v>
      </c>
      <c r="H87" s="23">
        <f t="shared" si="26"/>
        <v>0</v>
      </c>
      <c r="I87" s="23">
        <f t="shared" si="26"/>
        <v>0</v>
      </c>
      <c r="J87" s="23">
        <f t="shared" si="26"/>
        <v>0</v>
      </c>
      <c r="K87" s="23">
        <f t="shared" si="26"/>
        <v>0</v>
      </c>
    </row>
    <row r="88" spans="2:11" ht="12.75">
      <c r="B88" s="41" t="s">
        <v>125</v>
      </c>
      <c r="C88" s="23">
        <f>+C40</f>
        <v>147449.6</v>
      </c>
      <c r="D88" s="23">
        <f aca="true" t="shared" si="27" ref="D88:K88">+D40</f>
        <v>150558.30000000002</v>
      </c>
      <c r="E88" s="23">
        <f t="shared" si="27"/>
        <v>156789.1</v>
      </c>
      <c r="F88" s="23">
        <f t="shared" si="27"/>
        <v>159839.2</v>
      </c>
      <c r="G88" s="23">
        <f t="shared" si="27"/>
        <v>160451.30000000002</v>
      </c>
      <c r="H88" s="23">
        <f t="shared" si="27"/>
        <v>164039</v>
      </c>
      <c r="I88" s="23">
        <f t="shared" si="27"/>
        <v>160997.1</v>
      </c>
      <c r="J88" s="23">
        <f t="shared" si="27"/>
        <v>167704.1</v>
      </c>
      <c r="K88" s="23">
        <f t="shared" si="27"/>
        <v>176093.5</v>
      </c>
    </row>
    <row r="89" spans="2:11" ht="12.75">
      <c r="B89" s="41" t="s">
        <v>128</v>
      </c>
      <c r="C89" s="23">
        <f>+C46</f>
        <v>672277.76</v>
      </c>
      <c r="D89" s="23">
        <f aca="true" t="shared" si="28" ref="D89:K89">+D46</f>
        <v>754041.2</v>
      </c>
      <c r="E89" s="23">
        <f t="shared" si="28"/>
        <v>563088.24</v>
      </c>
      <c r="F89" s="23">
        <f t="shared" si="28"/>
        <v>417385.32</v>
      </c>
      <c r="G89" s="23">
        <f t="shared" si="28"/>
        <v>470373.64</v>
      </c>
      <c r="H89" s="23">
        <f t="shared" si="28"/>
        <v>529527.24</v>
      </c>
      <c r="I89" s="23">
        <f t="shared" si="28"/>
        <v>521849.68</v>
      </c>
      <c r="J89" s="23">
        <f t="shared" si="28"/>
        <v>545995.12</v>
      </c>
      <c r="K89" s="23">
        <f t="shared" si="28"/>
        <v>535434.24</v>
      </c>
    </row>
    <row r="90" spans="2:11" ht="12.75">
      <c r="B90" s="41" t="s">
        <v>130</v>
      </c>
      <c r="C90" s="23">
        <f>+C52</f>
        <v>0</v>
      </c>
      <c r="D90" s="23">
        <f aca="true" t="shared" si="29" ref="D90:K90">+D52</f>
        <v>0</v>
      </c>
      <c r="E90" s="23">
        <f t="shared" si="29"/>
        <v>0</v>
      </c>
      <c r="F90" s="23">
        <f t="shared" si="29"/>
        <v>388699.52</v>
      </c>
      <c r="G90" s="23">
        <f t="shared" si="29"/>
        <v>455231.04</v>
      </c>
      <c r="H90" s="23">
        <f t="shared" si="29"/>
        <v>450029.36</v>
      </c>
      <c r="I90" s="23">
        <f t="shared" si="29"/>
        <v>464689.72000000003</v>
      </c>
      <c r="J90" s="23">
        <f t="shared" si="29"/>
        <v>588785.12</v>
      </c>
      <c r="K90" s="23">
        <f t="shared" si="29"/>
        <v>668869.08</v>
      </c>
    </row>
    <row r="92" spans="2:11" ht="13.5" thickBot="1">
      <c r="B92" s="27" t="s">
        <v>135</v>
      </c>
      <c r="C92" s="26">
        <f>SUM(C83:C91)</f>
        <v>819727.36</v>
      </c>
      <c r="D92" s="26">
        <f aca="true" t="shared" si="30" ref="D92:K92">SUM(D83:D91)</f>
        <v>904599.5</v>
      </c>
      <c r="E92" s="26">
        <f t="shared" si="30"/>
        <v>719877.34</v>
      </c>
      <c r="F92" s="26">
        <f t="shared" si="30"/>
        <v>965924.04</v>
      </c>
      <c r="G92" s="26">
        <f t="shared" si="30"/>
        <v>1091011.98</v>
      </c>
      <c r="H92" s="26">
        <f t="shared" si="30"/>
        <v>1146090.6</v>
      </c>
      <c r="I92" s="26">
        <f t="shared" si="30"/>
        <v>1150880.5</v>
      </c>
      <c r="J92" s="26">
        <f t="shared" si="30"/>
        <v>1308075.3399999999</v>
      </c>
      <c r="K92" s="26">
        <f t="shared" si="30"/>
        <v>1380396.8199999998</v>
      </c>
    </row>
    <row r="94" spans="2:11" ht="12.75">
      <c r="B94" t="s">
        <v>131</v>
      </c>
      <c r="C94" s="42">
        <f>+C92+C81</f>
        <v>3088269</v>
      </c>
      <c r="D94" s="42">
        <f aca="true" t="shared" si="31" ref="D94:K94">+D92+D81</f>
        <v>3315891</v>
      </c>
      <c r="E94" s="42">
        <f t="shared" si="31"/>
        <v>2947642</v>
      </c>
      <c r="F94" s="42">
        <f t="shared" si="31"/>
        <v>3530830</v>
      </c>
      <c r="G94" s="42">
        <f t="shared" si="31"/>
        <v>3827887</v>
      </c>
      <c r="H94" s="42">
        <f t="shared" si="31"/>
        <v>3997123</v>
      </c>
      <c r="I94" s="42">
        <f t="shared" si="31"/>
        <v>3950668</v>
      </c>
      <c r="J94" s="42">
        <f t="shared" si="31"/>
        <v>4412629</v>
      </c>
      <c r="K94" s="42">
        <f t="shared" si="31"/>
        <v>4628010</v>
      </c>
    </row>
    <row r="96" spans="2:11" ht="13.5" thickBot="1">
      <c r="B96" s="21" t="s">
        <v>136</v>
      </c>
      <c r="C96" s="35">
        <f>+C81/C94</f>
        <v>0.7345673709123137</v>
      </c>
      <c r="D96" s="35">
        <f aca="true" t="shared" si="32" ref="D96:K96">+D81/D94</f>
        <v>0.7271926308796037</v>
      </c>
      <c r="E96" s="35">
        <f t="shared" si="32"/>
        <v>0.7557785714818829</v>
      </c>
      <c r="F96" s="35">
        <f t="shared" si="32"/>
        <v>0.7264314509619552</v>
      </c>
      <c r="G96" s="35">
        <f t="shared" si="32"/>
        <v>0.7149832322636483</v>
      </c>
      <c r="H96" s="35">
        <f t="shared" si="32"/>
        <v>0.7132711202532421</v>
      </c>
      <c r="I96" s="35">
        <f t="shared" si="32"/>
        <v>0.7086871131666848</v>
      </c>
      <c r="J96" s="35">
        <f t="shared" si="32"/>
        <v>0.7035609973102203</v>
      </c>
      <c r="K96" s="35">
        <f t="shared" si="32"/>
        <v>0.7017299400822383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5"/>
  <sheetViews>
    <sheetView zoomScale="85" zoomScaleNormal="85" workbookViewId="0" topLeftCell="A1">
      <selection activeCell="N60" sqref="N60"/>
    </sheetView>
  </sheetViews>
  <sheetFormatPr defaultColWidth="9.140625" defaultRowHeight="12.75"/>
  <cols>
    <col min="1" max="1" width="11.421875" style="0" customWidth="1"/>
    <col min="2" max="2" width="26.140625" style="0" bestFit="1" customWidth="1"/>
    <col min="3" max="6" width="10.57421875" style="0" bestFit="1" customWidth="1"/>
    <col min="7" max="7" width="4.00390625" style="0" customWidth="1"/>
  </cols>
  <sheetData>
    <row r="2" ht="12.75">
      <c r="B2" s="15" t="s">
        <v>155</v>
      </c>
    </row>
    <row r="4" spans="3:11" ht="12.75">
      <c r="C4" s="74" t="s">
        <v>448</v>
      </c>
      <c r="D4" s="75"/>
      <c r="E4" s="75"/>
      <c r="F4" s="76"/>
      <c r="G4" s="1"/>
      <c r="H4" s="74" t="s">
        <v>449</v>
      </c>
      <c r="I4" s="75"/>
      <c r="J4" s="75"/>
      <c r="K4" s="76"/>
    </row>
    <row r="5" spans="3:11" ht="12.75">
      <c r="C5" s="45"/>
      <c r="D5" s="19"/>
      <c r="E5" s="19"/>
      <c r="F5" s="55"/>
      <c r="H5" s="45"/>
      <c r="I5" s="19"/>
      <c r="J5" s="19"/>
      <c r="K5" s="55"/>
    </row>
    <row r="6" spans="1:11" ht="12.75">
      <c r="A6" s="1" t="s">
        <v>305</v>
      </c>
      <c r="B6" s="1" t="s">
        <v>303</v>
      </c>
      <c r="C6" s="56">
        <v>2000</v>
      </c>
      <c r="D6" s="24">
        <v>2001</v>
      </c>
      <c r="E6" s="24">
        <v>2002</v>
      </c>
      <c r="F6" s="57">
        <v>2003</v>
      </c>
      <c r="G6" s="1"/>
      <c r="H6" s="56">
        <v>2000</v>
      </c>
      <c r="I6" s="24">
        <v>2001</v>
      </c>
      <c r="J6" s="24">
        <v>2002</v>
      </c>
      <c r="K6" s="57">
        <v>2003</v>
      </c>
    </row>
    <row r="7" spans="3:11" ht="12.75">
      <c r="C7" s="45"/>
      <c r="D7" s="19"/>
      <c r="E7" s="19"/>
      <c r="F7" s="55"/>
      <c r="H7" s="45"/>
      <c r="I7" s="19"/>
      <c r="J7" s="19"/>
      <c r="K7" s="55"/>
    </row>
    <row r="8" spans="1:11" ht="12.75">
      <c r="A8" s="2" t="s">
        <v>154</v>
      </c>
      <c r="B8" s="16" t="s">
        <v>137</v>
      </c>
      <c r="C8" s="58">
        <v>2172</v>
      </c>
      <c r="D8" s="59">
        <v>2169</v>
      </c>
      <c r="E8" s="59">
        <v>1395</v>
      </c>
      <c r="F8" s="46">
        <v>1912</v>
      </c>
      <c r="G8" s="3"/>
      <c r="H8" s="65">
        <f>+C8*1.1</f>
        <v>2389.2000000000003</v>
      </c>
      <c r="I8" s="20">
        <f>+D8*1.1</f>
        <v>2385.9</v>
      </c>
      <c r="J8" s="20">
        <f>+E8*1.1</f>
        <v>1534.5000000000002</v>
      </c>
      <c r="K8" s="66">
        <f>+F8*1.1</f>
        <v>2103.2000000000003</v>
      </c>
    </row>
    <row r="9" spans="1:11" ht="12.75">
      <c r="A9" s="2"/>
      <c r="B9" s="16" t="s">
        <v>138</v>
      </c>
      <c r="C9" s="58">
        <v>21</v>
      </c>
      <c r="D9" s="59">
        <v>23</v>
      </c>
      <c r="E9" s="59">
        <v>41</v>
      </c>
      <c r="F9" s="46">
        <v>91</v>
      </c>
      <c r="G9" s="3"/>
      <c r="H9" s="65">
        <f aca="true" t="shared" si="0" ref="H9:H22">+C9*1.1</f>
        <v>23.1</v>
      </c>
      <c r="I9" s="20">
        <f aca="true" t="shared" si="1" ref="I9:I22">+D9*1.1</f>
        <v>25.3</v>
      </c>
      <c r="J9" s="20">
        <f aca="true" t="shared" si="2" ref="J9:J22">+E9*1.1</f>
        <v>45.1</v>
      </c>
      <c r="K9" s="66">
        <f aca="true" t="shared" si="3" ref="K9:K22">+F9*1.1</f>
        <v>100.10000000000001</v>
      </c>
    </row>
    <row r="10" spans="1:11" ht="12.75">
      <c r="A10" s="2"/>
      <c r="B10" s="16" t="s">
        <v>139</v>
      </c>
      <c r="C10" s="58">
        <v>3208</v>
      </c>
      <c r="D10" s="59">
        <v>4149</v>
      </c>
      <c r="E10" s="59">
        <v>3006</v>
      </c>
      <c r="F10" s="46">
        <v>4560</v>
      </c>
      <c r="G10" s="3"/>
      <c r="H10" s="65">
        <f t="shared" si="0"/>
        <v>3528.8</v>
      </c>
      <c r="I10" s="20">
        <f t="shared" si="1"/>
        <v>4563.900000000001</v>
      </c>
      <c r="J10" s="20">
        <f t="shared" si="2"/>
        <v>3306.6000000000004</v>
      </c>
      <c r="K10" s="66">
        <f t="shared" si="3"/>
        <v>5016</v>
      </c>
    </row>
    <row r="11" spans="1:11" ht="12.75">
      <c r="A11" s="2"/>
      <c r="B11" s="16" t="s">
        <v>140</v>
      </c>
      <c r="C11" s="58">
        <v>43805</v>
      </c>
      <c r="D11" s="59">
        <v>79369</v>
      </c>
      <c r="E11" s="59">
        <v>65700</v>
      </c>
      <c r="F11" s="46">
        <v>69032</v>
      </c>
      <c r="G11" s="3"/>
      <c r="H11" s="65">
        <f t="shared" si="0"/>
        <v>48185.50000000001</v>
      </c>
      <c r="I11" s="20">
        <f t="shared" si="1"/>
        <v>87305.90000000001</v>
      </c>
      <c r="J11" s="20">
        <f t="shared" si="2"/>
        <v>72270</v>
      </c>
      <c r="K11" s="66">
        <f t="shared" si="3"/>
        <v>75935.20000000001</v>
      </c>
    </row>
    <row r="12" spans="1:11" ht="12.75">
      <c r="A12" s="2"/>
      <c r="B12" s="16" t="s">
        <v>141</v>
      </c>
      <c r="C12" s="58">
        <v>1574</v>
      </c>
      <c r="D12" s="59">
        <v>2489</v>
      </c>
      <c r="E12" s="59">
        <v>2610</v>
      </c>
      <c r="F12" s="46">
        <v>2731</v>
      </c>
      <c r="G12" s="3"/>
      <c r="H12" s="65">
        <f t="shared" si="0"/>
        <v>1731.4</v>
      </c>
      <c r="I12" s="20">
        <f t="shared" si="1"/>
        <v>2737.9</v>
      </c>
      <c r="J12" s="20">
        <f t="shared" si="2"/>
        <v>2871.0000000000005</v>
      </c>
      <c r="K12" s="66">
        <f t="shared" si="3"/>
        <v>3004.1000000000004</v>
      </c>
    </row>
    <row r="13" spans="1:11" ht="12.75">
      <c r="A13" s="2"/>
      <c r="B13" s="16" t="s">
        <v>142</v>
      </c>
      <c r="C13" s="58">
        <v>3921</v>
      </c>
      <c r="D13" s="59">
        <v>5912</v>
      </c>
      <c r="E13" s="59">
        <v>5213</v>
      </c>
      <c r="F13" s="46">
        <v>3628</v>
      </c>
      <c r="G13" s="3"/>
      <c r="H13" s="65">
        <f t="shared" si="0"/>
        <v>4313.1</v>
      </c>
      <c r="I13" s="20">
        <f t="shared" si="1"/>
        <v>6503.200000000001</v>
      </c>
      <c r="J13" s="20">
        <f t="shared" si="2"/>
        <v>5734.3</v>
      </c>
      <c r="K13" s="66">
        <f t="shared" si="3"/>
        <v>3990.8</v>
      </c>
    </row>
    <row r="14" spans="1:11" ht="12.75">
      <c r="A14" s="2"/>
      <c r="B14" s="16" t="s">
        <v>143</v>
      </c>
      <c r="C14" s="58">
        <v>0</v>
      </c>
      <c r="D14" s="59">
        <v>82</v>
      </c>
      <c r="E14" s="59">
        <v>91</v>
      </c>
      <c r="F14" s="46">
        <v>50</v>
      </c>
      <c r="G14" s="3"/>
      <c r="H14" s="65">
        <f t="shared" si="0"/>
        <v>0</v>
      </c>
      <c r="I14" s="20">
        <f t="shared" si="1"/>
        <v>90.2</v>
      </c>
      <c r="J14" s="20">
        <f t="shared" si="2"/>
        <v>100.10000000000001</v>
      </c>
      <c r="K14" s="66">
        <f t="shared" si="3"/>
        <v>55.00000000000001</v>
      </c>
    </row>
    <row r="15" spans="2:11" ht="12.75">
      <c r="B15" t="s">
        <v>144</v>
      </c>
      <c r="C15" s="60">
        <v>0</v>
      </c>
      <c r="D15" s="61">
        <v>312</v>
      </c>
      <c r="E15" s="61">
        <v>0</v>
      </c>
      <c r="F15" s="62">
        <v>0</v>
      </c>
      <c r="G15" s="38"/>
      <c r="H15" s="65">
        <f t="shared" si="0"/>
        <v>0</v>
      </c>
      <c r="I15" s="20">
        <f t="shared" si="1"/>
        <v>343.20000000000005</v>
      </c>
      <c r="J15" s="20">
        <f t="shared" si="2"/>
        <v>0</v>
      </c>
      <c r="K15" s="66">
        <f t="shared" si="3"/>
        <v>0</v>
      </c>
    </row>
    <row r="16" spans="1:11" ht="12.75">
      <c r="A16" s="2"/>
      <c r="B16" s="16" t="s">
        <v>145</v>
      </c>
      <c r="C16" s="58">
        <v>124</v>
      </c>
      <c r="D16" s="59">
        <v>137</v>
      </c>
      <c r="E16" s="59">
        <v>98</v>
      </c>
      <c r="F16" s="46">
        <v>188</v>
      </c>
      <c r="G16" s="3"/>
      <c r="H16" s="65">
        <f t="shared" si="0"/>
        <v>136.4</v>
      </c>
      <c r="I16" s="20">
        <f t="shared" si="1"/>
        <v>150.70000000000002</v>
      </c>
      <c r="J16" s="20">
        <f t="shared" si="2"/>
        <v>107.80000000000001</v>
      </c>
      <c r="K16" s="66">
        <f t="shared" si="3"/>
        <v>206.8</v>
      </c>
    </row>
    <row r="17" spans="1:11" ht="12.75">
      <c r="A17" s="2"/>
      <c r="B17" s="16" t="s">
        <v>146</v>
      </c>
      <c r="C17" s="58">
        <v>317</v>
      </c>
      <c r="D17" s="59">
        <v>261</v>
      </c>
      <c r="E17" s="59">
        <v>473</v>
      </c>
      <c r="F17" s="46">
        <v>561</v>
      </c>
      <c r="G17" s="3"/>
      <c r="H17" s="65">
        <f t="shared" si="0"/>
        <v>348.70000000000005</v>
      </c>
      <c r="I17" s="20">
        <f t="shared" si="1"/>
        <v>287.1</v>
      </c>
      <c r="J17" s="20">
        <f t="shared" si="2"/>
        <v>520.3000000000001</v>
      </c>
      <c r="K17" s="66">
        <f t="shared" si="3"/>
        <v>617.1</v>
      </c>
    </row>
    <row r="18" spans="1:11" ht="12.75">
      <c r="A18" s="2"/>
      <c r="B18" s="16" t="s">
        <v>147</v>
      </c>
      <c r="C18" s="58">
        <v>716</v>
      </c>
      <c r="D18" s="59">
        <v>443</v>
      </c>
      <c r="E18" s="59">
        <v>427</v>
      </c>
      <c r="F18" s="46">
        <v>538</v>
      </c>
      <c r="G18" s="3"/>
      <c r="H18" s="65">
        <f t="shared" si="0"/>
        <v>787.6</v>
      </c>
      <c r="I18" s="20">
        <f t="shared" si="1"/>
        <v>487.3</v>
      </c>
      <c r="J18" s="20">
        <f t="shared" si="2"/>
        <v>469.70000000000005</v>
      </c>
      <c r="K18" s="66">
        <f t="shared" si="3"/>
        <v>591.8000000000001</v>
      </c>
    </row>
    <row r="19" spans="1:11" ht="12.75">
      <c r="A19" s="2"/>
      <c r="B19" s="16" t="s">
        <v>17</v>
      </c>
      <c r="C19" s="58">
        <v>1322</v>
      </c>
      <c r="D19" s="59">
        <v>860</v>
      </c>
      <c r="E19" s="59">
        <v>1564</v>
      </c>
      <c r="F19" s="46">
        <v>1895</v>
      </c>
      <c r="G19" s="3"/>
      <c r="H19" s="65">
        <f t="shared" si="0"/>
        <v>1454.2</v>
      </c>
      <c r="I19" s="20">
        <f t="shared" si="1"/>
        <v>946.0000000000001</v>
      </c>
      <c r="J19" s="20">
        <f t="shared" si="2"/>
        <v>1720.4</v>
      </c>
      <c r="K19" s="66">
        <f t="shared" si="3"/>
        <v>2084.5</v>
      </c>
    </row>
    <row r="20" spans="1:11" ht="12.75">
      <c r="A20" s="2"/>
      <c r="B20" s="16" t="s">
        <v>148</v>
      </c>
      <c r="C20" s="58">
        <v>42</v>
      </c>
      <c r="D20" s="59">
        <v>0</v>
      </c>
      <c r="E20" s="59">
        <v>0</v>
      </c>
      <c r="F20" s="46">
        <v>108</v>
      </c>
      <c r="G20" s="3"/>
      <c r="H20" s="65">
        <f t="shared" si="0"/>
        <v>46.2</v>
      </c>
      <c r="I20" s="20">
        <f t="shared" si="1"/>
        <v>0</v>
      </c>
      <c r="J20" s="20">
        <f t="shared" si="2"/>
        <v>0</v>
      </c>
      <c r="K20" s="66">
        <f t="shared" si="3"/>
        <v>118.80000000000001</v>
      </c>
    </row>
    <row r="21" spans="1:11" ht="12.75">
      <c r="A21" s="2"/>
      <c r="B21" s="16" t="s">
        <v>149</v>
      </c>
      <c r="C21" s="58">
        <v>6609</v>
      </c>
      <c r="D21" s="59">
        <v>10211</v>
      </c>
      <c r="E21" s="59">
        <v>15470</v>
      </c>
      <c r="F21" s="46">
        <v>15910</v>
      </c>
      <c r="G21" s="3"/>
      <c r="H21" s="65">
        <f t="shared" si="0"/>
        <v>7269.900000000001</v>
      </c>
      <c r="I21" s="20">
        <f t="shared" si="1"/>
        <v>11232.1</v>
      </c>
      <c r="J21" s="20">
        <f t="shared" si="2"/>
        <v>17017</v>
      </c>
      <c r="K21" s="66">
        <f t="shared" si="3"/>
        <v>17501</v>
      </c>
    </row>
    <row r="22" spans="1:11" ht="12.75">
      <c r="A22" s="2"/>
      <c r="B22" s="16" t="s">
        <v>150</v>
      </c>
      <c r="C22" s="58">
        <v>77</v>
      </c>
      <c r="D22" s="59">
        <v>53</v>
      </c>
      <c r="E22" s="59">
        <v>50</v>
      </c>
      <c r="F22" s="46">
        <v>0</v>
      </c>
      <c r="G22" s="3"/>
      <c r="H22" s="65">
        <f t="shared" si="0"/>
        <v>84.7</v>
      </c>
      <c r="I22" s="20">
        <f t="shared" si="1"/>
        <v>58.300000000000004</v>
      </c>
      <c r="J22" s="20">
        <f t="shared" si="2"/>
        <v>55.00000000000001</v>
      </c>
      <c r="K22" s="66">
        <f t="shared" si="3"/>
        <v>0</v>
      </c>
    </row>
    <row r="23" spans="1:11" ht="12.75">
      <c r="A23" s="2"/>
      <c r="B23" s="16"/>
      <c r="C23" s="45"/>
      <c r="D23" s="19"/>
      <c r="E23" s="19"/>
      <c r="F23" s="55"/>
      <c r="H23" s="45"/>
      <c r="I23" s="19"/>
      <c r="J23" s="19"/>
      <c r="K23" s="55"/>
    </row>
    <row r="24" spans="1:11" ht="13.5" thickBot="1">
      <c r="A24" s="2"/>
      <c r="B24" s="27" t="s">
        <v>151</v>
      </c>
      <c r="C24" s="63">
        <v>63908</v>
      </c>
      <c r="D24" s="22">
        <v>106470</v>
      </c>
      <c r="E24" s="22">
        <v>96138</v>
      </c>
      <c r="F24" s="64">
        <v>101204</v>
      </c>
      <c r="G24" s="3"/>
      <c r="H24" s="63">
        <f>SUM(H8:H23)</f>
        <v>70298.79999999999</v>
      </c>
      <c r="I24" s="22">
        <f>SUM(I8:I23)</f>
        <v>117117.00000000001</v>
      </c>
      <c r="J24" s="22">
        <f>SUM(J8:J23)</f>
        <v>105751.8</v>
      </c>
      <c r="K24" s="64">
        <f>SUM(K8:K23)</f>
        <v>111324.40000000004</v>
      </c>
    </row>
    <row r="25" spans="1:11" ht="12.75">
      <c r="A25" s="2"/>
      <c r="B25" s="16"/>
      <c r="C25" s="58"/>
      <c r="D25" s="59"/>
      <c r="E25" s="59"/>
      <c r="F25" s="46"/>
      <c r="G25" s="3"/>
      <c r="H25" s="58"/>
      <c r="I25" s="59"/>
      <c r="J25" s="59"/>
      <c r="K25" s="46"/>
    </row>
    <row r="26" spans="2:11" ht="12.75">
      <c r="B26" s="16"/>
      <c r="C26" s="58"/>
      <c r="D26" s="59"/>
      <c r="E26" s="59"/>
      <c r="F26" s="46"/>
      <c r="G26" s="3"/>
      <c r="H26" s="58"/>
      <c r="I26" s="59"/>
      <c r="J26" s="59"/>
      <c r="K26" s="46"/>
    </row>
    <row r="27" spans="1:11" ht="12.75">
      <c r="A27" s="2" t="s">
        <v>152</v>
      </c>
      <c r="B27" s="16" t="s">
        <v>137</v>
      </c>
      <c r="C27" s="58">
        <v>0</v>
      </c>
      <c r="D27" s="59">
        <v>0</v>
      </c>
      <c r="E27" s="59">
        <v>16</v>
      </c>
      <c r="F27" s="46">
        <v>32</v>
      </c>
      <c r="G27" s="3"/>
      <c r="H27" s="65">
        <f>+C27*1.1</f>
        <v>0</v>
      </c>
      <c r="I27" s="20">
        <f>+D27*1.1</f>
        <v>0</v>
      </c>
      <c r="J27" s="20">
        <f>+E27*1.1</f>
        <v>17.6</v>
      </c>
      <c r="K27" s="66">
        <f>+F27*1.1</f>
        <v>35.2</v>
      </c>
    </row>
    <row r="28" spans="2:11" ht="12.75">
      <c r="B28" s="16" t="s">
        <v>138</v>
      </c>
      <c r="C28" s="58">
        <v>53</v>
      </c>
      <c r="D28" s="59">
        <v>585</v>
      </c>
      <c r="E28" s="59">
        <v>119</v>
      </c>
      <c r="F28" s="46">
        <v>134</v>
      </c>
      <c r="G28" s="3"/>
      <c r="H28" s="65">
        <f aca="true" t="shared" si="4" ref="H28:H41">+C28*1.1</f>
        <v>58.300000000000004</v>
      </c>
      <c r="I28" s="20">
        <f aca="true" t="shared" si="5" ref="I28:I41">+D28*1.1</f>
        <v>643.5</v>
      </c>
      <c r="J28" s="20">
        <f aca="true" t="shared" si="6" ref="J28:J41">+E28*1.1</f>
        <v>130.9</v>
      </c>
      <c r="K28" s="66">
        <f aca="true" t="shared" si="7" ref="K28:K41">+F28*1.1</f>
        <v>147.4</v>
      </c>
    </row>
    <row r="29" spans="2:11" ht="12.75">
      <c r="B29" s="16" t="s">
        <v>139</v>
      </c>
      <c r="C29" s="58">
        <v>380</v>
      </c>
      <c r="D29" s="59">
        <v>199</v>
      </c>
      <c r="E29" s="59">
        <v>257</v>
      </c>
      <c r="F29" s="46">
        <v>239</v>
      </c>
      <c r="G29" s="3"/>
      <c r="H29" s="65">
        <f t="shared" si="4"/>
        <v>418.00000000000006</v>
      </c>
      <c r="I29" s="20">
        <f t="shared" si="5"/>
        <v>218.9</v>
      </c>
      <c r="J29" s="20">
        <f t="shared" si="6"/>
        <v>282.70000000000005</v>
      </c>
      <c r="K29" s="66">
        <f t="shared" si="7"/>
        <v>262.90000000000003</v>
      </c>
    </row>
    <row r="30" spans="2:11" ht="12.75">
      <c r="B30" s="16" t="s">
        <v>140</v>
      </c>
      <c r="C30" s="58">
        <v>554</v>
      </c>
      <c r="D30" s="59">
        <v>661</v>
      </c>
      <c r="E30" s="59">
        <v>3014</v>
      </c>
      <c r="F30" s="46">
        <v>2963</v>
      </c>
      <c r="G30" s="3"/>
      <c r="H30" s="65">
        <f t="shared" si="4"/>
        <v>609.4000000000001</v>
      </c>
      <c r="I30" s="20">
        <f t="shared" si="5"/>
        <v>727.1</v>
      </c>
      <c r="J30" s="20">
        <f t="shared" si="6"/>
        <v>3315.4</v>
      </c>
      <c r="K30" s="66">
        <f t="shared" si="7"/>
        <v>3259.3</v>
      </c>
    </row>
    <row r="31" spans="2:11" ht="12.75">
      <c r="B31" s="16" t="s">
        <v>141</v>
      </c>
      <c r="C31" s="58">
        <v>0</v>
      </c>
      <c r="D31" s="59">
        <v>0</v>
      </c>
      <c r="E31" s="59">
        <v>28</v>
      </c>
      <c r="F31" s="46">
        <v>30</v>
      </c>
      <c r="G31" s="3"/>
      <c r="H31" s="65">
        <f t="shared" si="4"/>
        <v>0</v>
      </c>
      <c r="I31" s="20">
        <f t="shared" si="5"/>
        <v>0</v>
      </c>
      <c r="J31" s="20">
        <f t="shared" si="6"/>
        <v>30.800000000000004</v>
      </c>
      <c r="K31" s="66">
        <f t="shared" si="7"/>
        <v>33</v>
      </c>
    </row>
    <row r="32" spans="2:11" ht="12.75">
      <c r="B32" s="16" t="s">
        <v>142</v>
      </c>
      <c r="C32" s="58">
        <v>87</v>
      </c>
      <c r="D32" s="59">
        <v>319</v>
      </c>
      <c r="E32" s="59">
        <v>298</v>
      </c>
      <c r="F32" s="46">
        <v>137</v>
      </c>
      <c r="G32" s="3"/>
      <c r="H32" s="65">
        <f t="shared" si="4"/>
        <v>95.7</v>
      </c>
      <c r="I32" s="20">
        <f t="shared" si="5"/>
        <v>350.90000000000003</v>
      </c>
      <c r="J32" s="20">
        <f t="shared" si="6"/>
        <v>327.8</v>
      </c>
      <c r="K32" s="66">
        <f t="shared" si="7"/>
        <v>150.70000000000002</v>
      </c>
    </row>
    <row r="33" spans="2:11" ht="12.75">
      <c r="B33" s="16" t="s">
        <v>143</v>
      </c>
      <c r="C33" s="58">
        <v>0</v>
      </c>
      <c r="D33" s="59">
        <v>0</v>
      </c>
      <c r="E33" s="59">
        <v>0</v>
      </c>
      <c r="F33" s="46">
        <v>0</v>
      </c>
      <c r="G33" s="3"/>
      <c r="H33" s="65">
        <f t="shared" si="4"/>
        <v>0</v>
      </c>
      <c r="I33" s="20">
        <f t="shared" si="5"/>
        <v>0</v>
      </c>
      <c r="J33" s="20">
        <f t="shared" si="6"/>
        <v>0</v>
      </c>
      <c r="K33" s="66">
        <f t="shared" si="7"/>
        <v>0</v>
      </c>
    </row>
    <row r="34" spans="2:11" ht="12.75">
      <c r="B34" t="s">
        <v>144</v>
      </c>
      <c r="C34" s="60">
        <v>0</v>
      </c>
      <c r="D34" s="61">
        <v>0</v>
      </c>
      <c r="E34" s="61">
        <v>0</v>
      </c>
      <c r="F34" s="62"/>
      <c r="G34" s="38"/>
      <c r="H34" s="65">
        <f t="shared" si="4"/>
        <v>0</v>
      </c>
      <c r="I34" s="20">
        <f t="shared" si="5"/>
        <v>0</v>
      </c>
      <c r="J34" s="20">
        <f t="shared" si="6"/>
        <v>0</v>
      </c>
      <c r="K34" s="66">
        <f t="shared" si="7"/>
        <v>0</v>
      </c>
    </row>
    <row r="35" spans="2:11" ht="12.75">
      <c r="B35" s="16" t="s">
        <v>145</v>
      </c>
      <c r="C35" s="58">
        <v>15</v>
      </c>
      <c r="D35" s="59">
        <v>0</v>
      </c>
      <c r="E35" s="59">
        <v>0</v>
      </c>
      <c r="F35" s="46">
        <v>26</v>
      </c>
      <c r="G35" s="3"/>
      <c r="H35" s="65">
        <f t="shared" si="4"/>
        <v>16.5</v>
      </c>
      <c r="I35" s="20">
        <f t="shared" si="5"/>
        <v>0</v>
      </c>
      <c r="J35" s="20">
        <f t="shared" si="6"/>
        <v>0</v>
      </c>
      <c r="K35" s="66">
        <f t="shared" si="7"/>
        <v>28.6</v>
      </c>
    </row>
    <row r="36" spans="2:11" ht="12.75">
      <c r="B36" s="16" t="s">
        <v>146</v>
      </c>
      <c r="C36" s="58">
        <v>29</v>
      </c>
      <c r="D36" s="59">
        <v>16</v>
      </c>
      <c r="E36" s="59">
        <v>27</v>
      </c>
      <c r="F36" s="46">
        <v>115</v>
      </c>
      <c r="G36" s="3"/>
      <c r="H36" s="65">
        <f t="shared" si="4"/>
        <v>31.900000000000002</v>
      </c>
      <c r="I36" s="20">
        <f t="shared" si="5"/>
        <v>17.6</v>
      </c>
      <c r="J36" s="20">
        <f t="shared" si="6"/>
        <v>29.700000000000003</v>
      </c>
      <c r="K36" s="66">
        <f t="shared" si="7"/>
        <v>126.50000000000001</v>
      </c>
    </row>
    <row r="37" spans="2:11" ht="12.75">
      <c r="B37" s="16" t="s">
        <v>147</v>
      </c>
      <c r="C37" s="58">
        <v>61</v>
      </c>
      <c r="D37" s="59">
        <v>14</v>
      </c>
      <c r="E37" s="59">
        <v>17</v>
      </c>
      <c r="F37" s="46">
        <v>0</v>
      </c>
      <c r="G37" s="3"/>
      <c r="H37" s="65">
        <f t="shared" si="4"/>
        <v>67.10000000000001</v>
      </c>
      <c r="I37" s="20">
        <f t="shared" si="5"/>
        <v>15.400000000000002</v>
      </c>
      <c r="J37" s="20">
        <f t="shared" si="6"/>
        <v>18.700000000000003</v>
      </c>
      <c r="K37" s="66">
        <f t="shared" si="7"/>
        <v>0</v>
      </c>
    </row>
    <row r="38" spans="2:11" ht="12.75">
      <c r="B38" s="16" t="s">
        <v>17</v>
      </c>
      <c r="C38" s="58">
        <v>134</v>
      </c>
      <c r="D38" s="59">
        <v>133</v>
      </c>
      <c r="E38" s="59">
        <v>337</v>
      </c>
      <c r="F38" s="46">
        <v>815</v>
      </c>
      <c r="G38" s="3"/>
      <c r="H38" s="65">
        <f t="shared" si="4"/>
        <v>147.4</v>
      </c>
      <c r="I38" s="20">
        <f t="shared" si="5"/>
        <v>146.3</v>
      </c>
      <c r="J38" s="20">
        <f t="shared" si="6"/>
        <v>370.70000000000005</v>
      </c>
      <c r="K38" s="66">
        <f t="shared" si="7"/>
        <v>896.5000000000001</v>
      </c>
    </row>
    <row r="39" spans="2:11" ht="12.75">
      <c r="B39" s="16" t="s">
        <v>148</v>
      </c>
      <c r="C39" s="58">
        <v>0</v>
      </c>
      <c r="D39" s="59">
        <v>19</v>
      </c>
      <c r="E39" s="59">
        <v>0</v>
      </c>
      <c r="F39" s="46">
        <v>34</v>
      </c>
      <c r="G39" s="3"/>
      <c r="H39" s="65">
        <f t="shared" si="4"/>
        <v>0</v>
      </c>
      <c r="I39" s="20">
        <f t="shared" si="5"/>
        <v>20.900000000000002</v>
      </c>
      <c r="J39" s="20">
        <f t="shared" si="6"/>
        <v>0</v>
      </c>
      <c r="K39" s="66">
        <f t="shared" si="7"/>
        <v>37.400000000000006</v>
      </c>
    </row>
    <row r="40" spans="2:11" ht="12.75">
      <c r="B40" s="16" t="s">
        <v>149</v>
      </c>
      <c r="C40" s="58">
        <v>447</v>
      </c>
      <c r="D40" s="59">
        <v>788</v>
      </c>
      <c r="E40" s="59">
        <v>1056</v>
      </c>
      <c r="F40" s="46">
        <v>1285</v>
      </c>
      <c r="G40" s="3"/>
      <c r="H40" s="65">
        <f t="shared" si="4"/>
        <v>491.70000000000005</v>
      </c>
      <c r="I40" s="20">
        <f t="shared" si="5"/>
        <v>866.8000000000001</v>
      </c>
      <c r="J40" s="20">
        <f t="shared" si="6"/>
        <v>1161.6000000000001</v>
      </c>
      <c r="K40" s="66">
        <f t="shared" si="7"/>
        <v>1413.5000000000002</v>
      </c>
    </row>
    <row r="41" spans="2:11" ht="12.75">
      <c r="B41" s="16" t="s">
        <v>150</v>
      </c>
      <c r="C41" s="58">
        <v>0</v>
      </c>
      <c r="D41" s="59">
        <v>0</v>
      </c>
      <c r="E41" s="59">
        <v>0</v>
      </c>
      <c r="F41" s="46">
        <v>0</v>
      </c>
      <c r="G41" s="3"/>
      <c r="H41" s="65">
        <f t="shared" si="4"/>
        <v>0</v>
      </c>
      <c r="I41" s="20">
        <f t="shared" si="5"/>
        <v>0</v>
      </c>
      <c r="J41" s="20">
        <f t="shared" si="6"/>
        <v>0</v>
      </c>
      <c r="K41" s="66">
        <f t="shared" si="7"/>
        <v>0</v>
      </c>
    </row>
    <row r="42" spans="2:11" ht="12.75">
      <c r="B42" s="16"/>
      <c r="C42" s="45"/>
      <c r="D42" s="19"/>
      <c r="E42" s="19"/>
      <c r="F42" s="55"/>
      <c r="H42" s="45"/>
      <c r="I42" s="19"/>
      <c r="J42" s="19"/>
      <c r="K42" s="55"/>
    </row>
    <row r="43" spans="2:11" ht="13.5" thickBot="1">
      <c r="B43" s="27" t="s">
        <v>151</v>
      </c>
      <c r="C43" s="63">
        <v>1760</v>
      </c>
      <c r="D43" s="22">
        <v>2734</v>
      </c>
      <c r="E43" s="22">
        <v>5169</v>
      </c>
      <c r="F43" s="64">
        <v>5810</v>
      </c>
      <c r="G43" s="3"/>
      <c r="H43" s="63">
        <f>SUM(H27:H42)</f>
        <v>1936.0000000000005</v>
      </c>
      <c r="I43" s="22">
        <f>SUM(I27:I42)</f>
        <v>3007.4000000000005</v>
      </c>
      <c r="J43" s="22">
        <f>SUM(J27:J42)</f>
        <v>5685.900000000001</v>
      </c>
      <c r="K43" s="64">
        <f>SUM(K27:K42)</f>
        <v>6391</v>
      </c>
    </row>
    <row r="44" spans="3:11" ht="12.75">
      <c r="C44" s="45"/>
      <c r="D44" s="19"/>
      <c r="E44" s="19"/>
      <c r="F44" s="55"/>
      <c r="H44" s="45"/>
      <c r="I44" s="19"/>
      <c r="J44" s="19"/>
      <c r="K44" s="55"/>
    </row>
    <row r="45" spans="3:11" ht="12.75">
      <c r="C45" s="45"/>
      <c r="D45" s="19"/>
      <c r="E45" s="19"/>
      <c r="F45" s="55"/>
      <c r="H45" s="56">
        <v>2000</v>
      </c>
      <c r="I45" s="24">
        <v>2001</v>
      </c>
      <c r="J45" s="24">
        <v>2002</v>
      </c>
      <c r="K45" s="57">
        <v>2003</v>
      </c>
    </row>
    <row r="46" spans="1:11" ht="12.75">
      <c r="A46" s="2" t="s">
        <v>0</v>
      </c>
      <c r="B46" s="16" t="s">
        <v>137</v>
      </c>
      <c r="C46" s="65">
        <f aca="true" t="shared" si="8" ref="C46:F59">+C8+C27</f>
        <v>2172</v>
      </c>
      <c r="D46" s="20">
        <f t="shared" si="8"/>
        <v>2169</v>
      </c>
      <c r="E46" s="20">
        <f t="shared" si="8"/>
        <v>1411</v>
      </c>
      <c r="F46" s="66">
        <f t="shared" si="8"/>
        <v>1944</v>
      </c>
      <c r="H46" s="65">
        <f>+C46*1.1</f>
        <v>2389.2000000000003</v>
      </c>
      <c r="I46" s="20">
        <f aca="true" t="shared" si="9" ref="I46:K60">+D46*1.1</f>
        <v>2385.9</v>
      </c>
      <c r="J46" s="20">
        <f t="shared" si="9"/>
        <v>1552.1000000000001</v>
      </c>
      <c r="K46" s="66">
        <f t="shared" si="9"/>
        <v>2138.4</v>
      </c>
    </row>
    <row r="47" spans="2:11" ht="12.75">
      <c r="B47" s="16" t="s">
        <v>138</v>
      </c>
      <c r="C47" s="65">
        <f t="shared" si="8"/>
        <v>74</v>
      </c>
      <c r="D47" s="20">
        <f t="shared" si="8"/>
        <v>608</v>
      </c>
      <c r="E47" s="20">
        <f t="shared" si="8"/>
        <v>160</v>
      </c>
      <c r="F47" s="66">
        <f t="shared" si="8"/>
        <v>225</v>
      </c>
      <c r="H47" s="65">
        <f aca="true" t="shared" si="10" ref="H47:H60">+C47*1.1</f>
        <v>81.4</v>
      </c>
      <c r="I47" s="20">
        <f t="shared" si="9"/>
        <v>668.8000000000001</v>
      </c>
      <c r="J47" s="20">
        <f t="shared" si="9"/>
        <v>176</v>
      </c>
      <c r="K47" s="72">
        <f t="shared" si="9"/>
        <v>247.50000000000003</v>
      </c>
    </row>
    <row r="48" spans="2:11" ht="12.75">
      <c r="B48" s="16" t="s">
        <v>139</v>
      </c>
      <c r="C48" s="65">
        <f t="shared" si="8"/>
        <v>3588</v>
      </c>
      <c r="D48" s="20">
        <f t="shared" si="8"/>
        <v>4348</v>
      </c>
      <c r="E48" s="20">
        <f t="shared" si="8"/>
        <v>3263</v>
      </c>
      <c r="F48" s="66">
        <f t="shared" si="8"/>
        <v>4799</v>
      </c>
      <c r="H48" s="65">
        <f t="shared" si="10"/>
        <v>3946.8</v>
      </c>
      <c r="I48" s="20">
        <f t="shared" si="9"/>
        <v>4782.8</v>
      </c>
      <c r="J48" s="20">
        <f t="shared" si="9"/>
        <v>3589.3</v>
      </c>
      <c r="K48" s="66">
        <f t="shared" si="9"/>
        <v>5278.900000000001</v>
      </c>
    </row>
    <row r="49" spans="2:11" ht="12.75">
      <c r="B49" s="16" t="s">
        <v>140</v>
      </c>
      <c r="C49" s="65">
        <f t="shared" si="8"/>
        <v>44359</v>
      </c>
      <c r="D49" s="20">
        <f t="shared" si="8"/>
        <v>80030</v>
      </c>
      <c r="E49" s="20">
        <f t="shared" si="8"/>
        <v>68714</v>
      </c>
      <c r="F49" s="66">
        <f t="shared" si="8"/>
        <v>71995</v>
      </c>
      <c r="H49" s="65">
        <f t="shared" si="10"/>
        <v>48794.9</v>
      </c>
      <c r="I49" s="20">
        <f t="shared" si="9"/>
        <v>88033</v>
      </c>
      <c r="J49" s="20">
        <f t="shared" si="9"/>
        <v>75585.40000000001</v>
      </c>
      <c r="K49" s="66">
        <f t="shared" si="9"/>
        <v>79194.5</v>
      </c>
    </row>
    <row r="50" spans="2:11" ht="12.75">
      <c r="B50" s="16" t="s">
        <v>141</v>
      </c>
      <c r="C50" s="65">
        <f t="shared" si="8"/>
        <v>1574</v>
      </c>
      <c r="D50" s="20">
        <f t="shared" si="8"/>
        <v>2489</v>
      </c>
      <c r="E50" s="20">
        <f t="shared" si="8"/>
        <v>2638</v>
      </c>
      <c r="F50" s="66">
        <f t="shared" si="8"/>
        <v>2761</v>
      </c>
      <c r="H50" s="65">
        <f t="shared" si="10"/>
        <v>1731.4</v>
      </c>
      <c r="I50" s="20">
        <f t="shared" si="9"/>
        <v>2737.9</v>
      </c>
      <c r="J50" s="20">
        <f t="shared" si="9"/>
        <v>2901.8</v>
      </c>
      <c r="K50" s="66">
        <f t="shared" si="9"/>
        <v>3037.1000000000004</v>
      </c>
    </row>
    <row r="51" spans="2:11" ht="12.75">
      <c r="B51" s="16" t="s">
        <v>142</v>
      </c>
      <c r="C51" s="65">
        <f t="shared" si="8"/>
        <v>4008</v>
      </c>
      <c r="D51" s="20">
        <f t="shared" si="8"/>
        <v>6231</v>
      </c>
      <c r="E51" s="20">
        <f t="shared" si="8"/>
        <v>5511</v>
      </c>
      <c r="F51" s="66">
        <f t="shared" si="8"/>
        <v>3765</v>
      </c>
      <c r="H51" s="65">
        <f t="shared" si="10"/>
        <v>4408.8</v>
      </c>
      <c r="I51" s="20">
        <f t="shared" si="9"/>
        <v>6854.1</v>
      </c>
      <c r="J51" s="20">
        <f t="shared" si="9"/>
        <v>6062.1</v>
      </c>
      <c r="K51" s="66">
        <f t="shared" si="9"/>
        <v>4141.5</v>
      </c>
    </row>
    <row r="52" spans="2:11" ht="12.75">
      <c r="B52" s="16" t="s">
        <v>143</v>
      </c>
      <c r="C52" s="65">
        <f t="shared" si="8"/>
        <v>0</v>
      </c>
      <c r="D52" s="20">
        <f t="shared" si="8"/>
        <v>82</v>
      </c>
      <c r="E52" s="20">
        <f t="shared" si="8"/>
        <v>91</v>
      </c>
      <c r="F52" s="66">
        <f t="shared" si="8"/>
        <v>50</v>
      </c>
      <c r="H52" s="65">
        <f t="shared" si="10"/>
        <v>0</v>
      </c>
      <c r="I52" s="20">
        <f t="shared" si="9"/>
        <v>90.2</v>
      </c>
      <c r="J52" s="20">
        <f t="shared" si="9"/>
        <v>100.10000000000001</v>
      </c>
      <c r="K52" s="72">
        <f t="shared" si="9"/>
        <v>55.00000000000001</v>
      </c>
    </row>
    <row r="53" spans="2:11" ht="12.75">
      <c r="B53" t="s">
        <v>144</v>
      </c>
      <c r="C53" s="65">
        <f t="shared" si="8"/>
        <v>0</v>
      </c>
      <c r="D53" s="20">
        <f t="shared" si="8"/>
        <v>312</v>
      </c>
      <c r="E53" s="20">
        <f t="shared" si="8"/>
        <v>0</v>
      </c>
      <c r="F53" s="66">
        <f t="shared" si="8"/>
        <v>0</v>
      </c>
      <c r="H53" s="65">
        <f t="shared" si="10"/>
        <v>0</v>
      </c>
      <c r="I53" s="20">
        <f t="shared" si="9"/>
        <v>343.20000000000005</v>
      </c>
      <c r="J53" s="20">
        <f t="shared" si="9"/>
        <v>0</v>
      </c>
      <c r="K53" s="71">
        <f t="shared" si="9"/>
        <v>0</v>
      </c>
    </row>
    <row r="54" spans="2:11" ht="12.75">
      <c r="B54" s="16" t="s">
        <v>145</v>
      </c>
      <c r="C54" s="65">
        <f t="shared" si="8"/>
        <v>139</v>
      </c>
      <c r="D54" s="20">
        <f t="shared" si="8"/>
        <v>137</v>
      </c>
      <c r="E54" s="20">
        <f t="shared" si="8"/>
        <v>98</v>
      </c>
      <c r="F54" s="66">
        <f t="shared" si="8"/>
        <v>214</v>
      </c>
      <c r="H54" s="65">
        <f t="shared" si="10"/>
        <v>152.9</v>
      </c>
      <c r="I54" s="20">
        <f t="shared" si="9"/>
        <v>150.70000000000002</v>
      </c>
      <c r="J54" s="20">
        <f t="shared" si="9"/>
        <v>107.80000000000001</v>
      </c>
      <c r="K54" s="72">
        <f t="shared" si="9"/>
        <v>235.4</v>
      </c>
    </row>
    <row r="55" spans="2:11" ht="12.75">
      <c r="B55" s="16" t="s">
        <v>146</v>
      </c>
      <c r="C55" s="65">
        <f t="shared" si="8"/>
        <v>346</v>
      </c>
      <c r="D55" s="20">
        <f t="shared" si="8"/>
        <v>277</v>
      </c>
      <c r="E55" s="20">
        <f t="shared" si="8"/>
        <v>500</v>
      </c>
      <c r="F55" s="66">
        <f t="shared" si="8"/>
        <v>676</v>
      </c>
      <c r="H55" s="65">
        <f t="shared" si="10"/>
        <v>380.6</v>
      </c>
      <c r="I55" s="20">
        <f t="shared" si="9"/>
        <v>304.70000000000005</v>
      </c>
      <c r="J55" s="20">
        <f t="shared" si="9"/>
        <v>550</v>
      </c>
      <c r="K55" s="72">
        <f t="shared" si="9"/>
        <v>743.6</v>
      </c>
    </row>
    <row r="56" spans="2:11" ht="12.75">
      <c r="B56" s="16" t="s">
        <v>147</v>
      </c>
      <c r="C56" s="65">
        <f t="shared" si="8"/>
        <v>777</v>
      </c>
      <c r="D56" s="20">
        <f t="shared" si="8"/>
        <v>457</v>
      </c>
      <c r="E56" s="20">
        <f t="shared" si="8"/>
        <v>444</v>
      </c>
      <c r="F56" s="66">
        <f t="shared" si="8"/>
        <v>538</v>
      </c>
      <c r="H56" s="65">
        <f t="shared" si="10"/>
        <v>854.7</v>
      </c>
      <c r="I56" s="20">
        <f t="shared" si="9"/>
        <v>502.70000000000005</v>
      </c>
      <c r="J56" s="20">
        <f t="shared" si="9"/>
        <v>488.40000000000003</v>
      </c>
      <c r="K56" s="66">
        <f t="shared" si="9"/>
        <v>591.8000000000001</v>
      </c>
    </row>
    <row r="57" spans="2:11" ht="12.75">
      <c r="B57" s="16" t="s">
        <v>17</v>
      </c>
      <c r="C57" s="65">
        <f t="shared" si="8"/>
        <v>1456</v>
      </c>
      <c r="D57" s="20">
        <f t="shared" si="8"/>
        <v>993</v>
      </c>
      <c r="E57" s="20">
        <f t="shared" si="8"/>
        <v>1901</v>
      </c>
      <c r="F57" s="66">
        <f t="shared" si="8"/>
        <v>2710</v>
      </c>
      <c r="H57" s="65">
        <f t="shared" si="10"/>
        <v>1601.6000000000001</v>
      </c>
      <c r="I57" s="20">
        <f t="shared" si="9"/>
        <v>1092.3000000000002</v>
      </c>
      <c r="J57" s="20">
        <f t="shared" si="9"/>
        <v>2091.1000000000004</v>
      </c>
      <c r="K57" s="66">
        <f t="shared" si="9"/>
        <v>2981.0000000000005</v>
      </c>
    </row>
    <row r="58" spans="2:11" ht="12.75">
      <c r="B58" s="16" t="s">
        <v>148</v>
      </c>
      <c r="C58" s="65">
        <f t="shared" si="8"/>
        <v>42</v>
      </c>
      <c r="D58" s="20">
        <f t="shared" si="8"/>
        <v>19</v>
      </c>
      <c r="E58" s="20">
        <f t="shared" si="8"/>
        <v>0</v>
      </c>
      <c r="F58" s="66">
        <f t="shared" si="8"/>
        <v>142</v>
      </c>
      <c r="H58" s="65">
        <f t="shared" si="10"/>
        <v>46.2</v>
      </c>
      <c r="I58" s="20">
        <f t="shared" si="9"/>
        <v>20.900000000000002</v>
      </c>
      <c r="J58" s="20">
        <f t="shared" si="9"/>
        <v>0</v>
      </c>
      <c r="K58" s="66">
        <f t="shared" si="9"/>
        <v>156.20000000000002</v>
      </c>
    </row>
    <row r="59" spans="2:11" ht="12.75">
      <c r="B59" s="16" t="s">
        <v>149</v>
      </c>
      <c r="C59" s="65">
        <f t="shared" si="8"/>
        <v>7056</v>
      </c>
      <c r="D59" s="20">
        <f t="shared" si="8"/>
        <v>10999</v>
      </c>
      <c r="E59" s="20">
        <f t="shared" si="8"/>
        <v>16526</v>
      </c>
      <c r="F59" s="66">
        <f t="shared" si="8"/>
        <v>17195</v>
      </c>
      <c r="H59" s="65">
        <f t="shared" si="10"/>
        <v>7761.6</v>
      </c>
      <c r="I59" s="20">
        <f t="shared" si="9"/>
        <v>12098.900000000001</v>
      </c>
      <c r="J59" s="20">
        <f t="shared" si="9"/>
        <v>18178.600000000002</v>
      </c>
      <c r="K59" s="66">
        <f t="shared" si="9"/>
        <v>18914.5</v>
      </c>
    </row>
    <row r="60" spans="2:11" ht="12.75">
      <c r="B60" s="16" t="s">
        <v>150</v>
      </c>
      <c r="C60" s="65">
        <f>+C22+C41</f>
        <v>77</v>
      </c>
      <c r="D60" s="20">
        <f>+D22+D41</f>
        <v>53</v>
      </c>
      <c r="E60" s="20">
        <f>+E22+E41</f>
        <v>50</v>
      </c>
      <c r="F60" s="66">
        <f>+F22+F41</f>
        <v>0</v>
      </c>
      <c r="H60" s="65">
        <f t="shared" si="10"/>
        <v>84.7</v>
      </c>
      <c r="I60" s="20">
        <f t="shared" si="9"/>
        <v>58.300000000000004</v>
      </c>
      <c r="J60" s="20">
        <f t="shared" si="9"/>
        <v>55.00000000000001</v>
      </c>
      <c r="K60" s="66">
        <f t="shared" si="9"/>
        <v>0</v>
      </c>
    </row>
    <row r="61" spans="3:11" ht="12.75">
      <c r="C61" s="45"/>
      <c r="D61" s="19"/>
      <c r="E61" s="19"/>
      <c r="F61" s="55"/>
      <c r="H61" s="45"/>
      <c r="I61" s="19"/>
      <c r="J61" s="19"/>
      <c r="K61" s="55"/>
    </row>
    <row r="62" spans="2:11" ht="13.5" thickBot="1">
      <c r="B62" s="30" t="s">
        <v>153</v>
      </c>
      <c r="C62" s="67">
        <f>SUM(C46:C61)</f>
        <v>65668</v>
      </c>
      <c r="D62" s="26">
        <f>SUM(D46:D61)</f>
        <v>109204</v>
      </c>
      <c r="E62" s="26">
        <f>SUM(E46:E61)</f>
        <v>101307</v>
      </c>
      <c r="F62" s="68">
        <f>SUM(F46:F61)</f>
        <v>107014</v>
      </c>
      <c r="H62" s="67">
        <f>SUM(H46:H61)</f>
        <v>72234.8</v>
      </c>
      <c r="I62" s="26">
        <f>SUM(I46:I61)</f>
        <v>120124.39999999998</v>
      </c>
      <c r="J62" s="26">
        <f>SUM(J46:J61)</f>
        <v>111437.70000000003</v>
      </c>
      <c r="K62" s="68">
        <f>SUM(K46:K61)</f>
        <v>117715.40000000001</v>
      </c>
    </row>
    <row r="63" spans="3:11" ht="12.75">
      <c r="C63" s="47"/>
      <c r="D63" s="69"/>
      <c r="E63" s="69"/>
      <c r="F63" s="70"/>
      <c r="H63" s="47"/>
      <c r="I63" s="69"/>
      <c r="J63" s="69"/>
      <c r="K63" s="70"/>
    </row>
    <row r="65" ht="12.75">
      <c r="K65" s="23"/>
    </row>
  </sheetData>
  <mergeCells count="2">
    <mergeCell ref="C4:F4"/>
    <mergeCell ref="H4:K4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Z325"/>
  <sheetViews>
    <sheetView zoomScale="85" zoomScaleNormal="85" workbookViewId="0" topLeftCell="O1">
      <selection activeCell="D37" sqref="D37"/>
    </sheetView>
  </sheetViews>
  <sheetFormatPr defaultColWidth="9.140625" defaultRowHeight="12.75"/>
  <cols>
    <col min="2" max="2" width="27.421875" style="0" customWidth="1"/>
    <col min="3" max="3" width="13.57421875" style="0" customWidth="1"/>
    <col min="6" max="6" width="16.421875" style="0" customWidth="1"/>
    <col min="7" max="7" width="13.8515625" style="0" customWidth="1"/>
    <col min="8" max="8" width="10.140625" style="0" customWidth="1"/>
    <col min="9" max="9" width="9.57421875" style="0" bestFit="1" customWidth="1"/>
    <col min="10" max="10" width="9.57421875" style="0" customWidth="1"/>
    <col min="11" max="11" width="11.140625" style="0" customWidth="1"/>
    <col min="14" max="14" width="25.57421875" style="0" bestFit="1" customWidth="1"/>
    <col min="15" max="15" width="12.8515625" style="0" bestFit="1" customWidth="1"/>
    <col min="16" max="16" width="13.57421875" style="0" bestFit="1" customWidth="1"/>
    <col min="17" max="17" width="1.421875" style="0" customWidth="1"/>
    <col min="18" max="18" width="10.8515625" style="0" customWidth="1"/>
    <col min="22" max="22" width="30.28125" style="0" bestFit="1" customWidth="1"/>
    <col min="23" max="23" width="23.140625" style="0" bestFit="1" customWidth="1"/>
    <col min="24" max="24" width="11.28125" style="0" bestFit="1" customWidth="1"/>
  </cols>
  <sheetData>
    <row r="4" spans="2:14" ht="12.75">
      <c r="B4" s="15" t="s">
        <v>24</v>
      </c>
      <c r="F4" s="15" t="s">
        <v>68</v>
      </c>
      <c r="G4" s="15"/>
      <c r="N4" s="15" t="s">
        <v>71</v>
      </c>
    </row>
    <row r="6" spans="2:22" ht="12.75">
      <c r="B6" s="1" t="s">
        <v>2</v>
      </c>
      <c r="C6" s="1" t="s">
        <v>3</v>
      </c>
      <c r="F6" s="1" t="s">
        <v>25</v>
      </c>
      <c r="G6" s="1" t="s">
        <v>26</v>
      </c>
      <c r="H6" s="1" t="s">
        <v>69</v>
      </c>
      <c r="I6" s="1" t="s">
        <v>70</v>
      </c>
      <c r="J6" s="1"/>
      <c r="K6" s="1"/>
      <c r="N6" s="19"/>
      <c r="O6" s="77" t="s">
        <v>25</v>
      </c>
      <c r="P6" s="77"/>
      <c r="V6" s="15" t="s">
        <v>106</v>
      </c>
    </row>
    <row r="7" spans="2:26" ht="12.75">
      <c r="B7" s="43" t="s">
        <v>14</v>
      </c>
      <c r="C7" s="44">
        <v>88818.92699999995</v>
      </c>
      <c r="F7" s="19" t="s">
        <v>27</v>
      </c>
      <c r="G7" s="19" t="s">
        <v>28</v>
      </c>
      <c r="H7" s="20">
        <v>73183.34249999988</v>
      </c>
      <c r="I7" s="20">
        <v>795</v>
      </c>
      <c r="J7" s="20"/>
      <c r="K7" s="20"/>
      <c r="Q7" s="24"/>
      <c r="R7" s="19"/>
      <c r="Y7" s="73" t="s">
        <v>108</v>
      </c>
      <c r="Z7" s="73"/>
    </row>
    <row r="8" spans="2:26" ht="12.75">
      <c r="B8" s="45" t="s">
        <v>12</v>
      </c>
      <c r="C8" s="46">
        <v>75612.47349999995</v>
      </c>
      <c r="F8" s="19"/>
      <c r="G8" s="19" t="s">
        <v>29</v>
      </c>
      <c r="H8" s="20">
        <v>51205.04900000008</v>
      </c>
      <c r="I8" s="20">
        <v>560</v>
      </c>
      <c r="J8" s="20"/>
      <c r="K8" s="20"/>
      <c r="N8" s="24" t="s">
        <v>2</v>
      </c>
      <c r="O8" s="24" t="s">
        <v>27</v>
      </c>
      <c r="P8" s="24" t="s">
        <v>35</v>
      </c>
      <c r="Q8" s="24"/>
      <c r="R8" s="24" t="s">
        <v>72</v>
      </c>
      <c r="V8" s="24" t="s">
        <v>2</v>
      </c>
      <c r="W8" s="24" t="s">
        <v>303</v>
      </c>
      <c r="X8" s="24" t="s">
        <v>3</v>
      </c>
      <c r="Y8" s="28" t="s">
        <v>107</v>
      </c>
      <c r="Z8" s="28" t="s">
        <v>3</v>
      </c>
    </row>
    <row r="9" spans="2:18" ht="12.75">
      <c r="B9" s="45" t="s">
        <v>13</v>
      </c>
      <c r="C9" s="46">
        <v>38439.75800000011</v>
      </c>
      <c r="F9" s="19"/>
      <c r="G9" s="19" t="s">
        <v>33</v>
      </c>
      <c r="H9" s="20">
        <v>14278.083999999983</v>
      </c>
      <c r="I9" s="20">
        <v>145</v>
      </c>
      <c r="J9" s="20"/>
      <c r="K9" s="20"/>
      <c r="M9" s="19"/>
      <c r="N9" s="19" t="s">
        <v>4</v>
      </c>
      <c r="O9" s="20">
        <v>351.73</v>
      </c>
      <c r="P9" s="20">
        <v>3999.7580000000003</v>
      </c>
      <c r="R9" s="20">
        <v>4351.488</v>
      </c>
    </row>
    <row r="10" spans="2:26" ht="12.75">
      <c r="B10" s="45" t="s">
        <v>5</v>
      </c>
      <c r="C10" s="46">
        <v>36585.487</v>
      </c>
      <c r="F10" s="19"/>
      <c r="G10" s="19" t="s">
        <v>32</v>
      </c>
      <c r="H10" s="20">
        <v>1518.9265</v>
      </c>
      <c r="I10" s="20">
        <v>18</v>
      </c>
      <c r="J10" s="20"/>
      <c r="K10" s="20"/>
      <c r="M10" s="19"/>
      <c r="N10" s="19" t="s">
        <v>5</v>
      </c>
      <c r="O10" s="25">
        <v>17044.998999999985</v>
      </c>
      <c r="P10" s="25">
        <v>19540.488000000005</v>
      </c>
      <c r="R10" s="20">
        <v>36585.486999999994</v>
      </c>
      <c r="V10" t="s">
        <v>14</v>
      </c>
      <c r="W10" t="s">
        <v>91</v>
      </c>
      <c r="X10" s="23">
        <v>37880.88599999999</v>
      </c>
      <c r="Y10" s="34">
        <f>+X10/$X$15</f>
        <v>0.4264956499643369</v>
      </c>
      <c r="Z10" s="34">
        <f aca="true" t="shared" si="0" ref="Z10:Z15">+X10/$X$56</f>
        <v>0.12249424686629819</v>
      </c>
    </row>
    <row r="11" spans="2:26" ht="12.75">
      <c r="B11" s="45" t="s">
        <v>20</v>
      </c>
      <c r="C11" s="46">
        <v>28284.380999999987</v>
      </c>
      <c r="F11" s="19"/>
      <c r="G11" s="19" t="s">
        <v>31</v>
      </c>
      <c r="H11" s="20">
        <v>148</v>
      </c>
      <c r="I11" s="20">
        <v>2</v>
      </c>
      <c r="J11" s="20"/>
      <c r="K11" s="20"/>
      <c r="M11" s="19"/>
      <c r="N11" s="19" t="s">
        <v>6</v>
      </c>
      <c r="O11" s="20">
        <v>361.56</v>
      </c>
      <c r="P11" s="20">
        <v>2435.207</v>
      </c>
      <c r="R11" s="20">
        <v>2796.767</v>
      </c>
      <c r="W11" t="s">
        <v>90</v>
      </c>
      <c r="X11" s="23">
        <v>10493.285000000002</v>
      </c>
      <c r="Y11" s="34">
        <f>+X11/$X$15</f>
        <v>0.11814244277010914</v>
      </c>
      <c r="Z11" s="34">
        <f t="shared" si="0"/>
        <v>0.03393181044467715</v>
      </c>
    </row>
    <row r="12" spans="2:26" ht="12.75">
      <c r="B12" s="47" t="s">
        <v>16</v>
      </c>
      <c r="C12" s="48">
        <v>15060.2925</v>
      </c>
      <c r="D12" s="23">
        <f>SUM(C7:C12)</f>
        <v>282801.31899999996</v>
      </c>
      <c r="E12" s="29">
        <f>+D12/C26</f>
        <v>0.9144858592721606</v>
      </c>
      <c r="F12" s="19"/>
      <c r="G12" s="19" t="s">
        <v>30</v>
      </c>
      <c r="H12" s="20">
        <v>147.61</v>
      </c>
      <c r="I12" s="20">
        <v>2</v>
      </c>
      <c r="J12" s="20"/>
      <c r="K12" s="20"/>
      <c r="M12" s="19"/>
      <c r="N12" s="19" t="s">
        <v>7</v>
      </c>
      <c r="O12" s="20">
        <v>514.071</v>
      </c>
      <c r="P12" s="20">
        <v>58.4015</v>
      </c>
      <c r="R12" s="20">
        <v>572.4725</v>
      </c>
      <c r="W12" t="s">
        <v>89</v>
      </c>
      <c r="X12" s="23">
        <v>9881.672999999999</v>
      </c>
      <c r="Y12" s="34">
        <f>+X12/$X$15</f>
        <v>0.1112563879543377</v>
      </c>
      <c r="Z12" s="34">
        <f t="shared" si="0"/>
        <v>0.03195405967838328</v>
      </c>
    </row>
    <row r="13" spans="2:26" ht="12.75">
      <c r="B13" t="s">
        <v>17</v>
      </c>
      <c r="C13" s="3">
        <v>5426.103000000002</v>
      </c>
      <c r="M13" s="19"/>
      <c r="N13" s="19" t="s">
        <v>8</v>
      </c>
      <c r="O13" s="20"/>
      <c r="P13" s="20">
        <v>379.35</v>
      </c>
      <c r="R13" s="20">
        <v>379.35</v>
      </c>
      <c r="W13" t="s">
        <v>92</v>
      </c>
      <c r="X13" s="23">
        <v>8005.673499999999</v>
      </c>
      <c r="Y13" s="34">
        <f>+X13/$X$15</f>
        <v>0.09013476936058909</v>
      </c>
      <c r="Z13" s="34">
        <f t="shared" si="0"/>
        <v>0.025887698245494615</v>
      </c>
    </row>
    <row r="14" spans="2:26" ht="13.5" thickBot="1">
      <c r="B14" t="s">
        <v>10</v>
      </c>
      <c r="C14" s="3">
        <v>4485.960999999999</v>
      </c>
      <c r="F14" s="21" t="s">
        <v>34</v>
      </c>
      <c r="G14" s="22"/>
      <c r="H14" s="22">
        <v>140481.01199999996</v>
      </c>
      <c r="I14" s="22">
        <v>1522</v>
      </c>
      <c r="J14" s="53"/>
      <c r="K14" s="53"/>
      <c r="M14" s="19"/>
      <c r="N14" s="19" t="s">
        <v>9</v>
      </c>
      <c r="O14" s="20">
        <v>489.211</v>
      </c>
      <c r="P14" s="20">
        <v>2682.66</v>
      </c>
      <c r="R14" s="20">
        <v>3171.871</v>
      </c>
      <c r="W14" t="s">
        <v>111</v>
      </c>
      <c r="X14" s="23">
        <v>22557.409499999998</v>
      </c>
      <c r="Y14" s="34">
        <f>+X14/$X$15</f>
        <v>0.2539707499506271</v>
      </c>
      <c r="Z14" s="34">
        <f t="shared" si="0"/>
        <v>0.07294319588927198</v>
      </c>
    </row>
    <row r="15" spans="2:26" ht="13.5" thickBot="1">
      <c r="B15" t="s">
        <v>23</v>
      </c>
      <c r="C15" s="3">
        <v>4351.487999999999</v>
      </c>
      <c r="M15" s="19"/>
      <c r="N15" s="19" t="s">
        <v>10</v>
      </c>
      <c r="O15" s="20"/>
      <c r="P15" s="20">
        <v>4485.960999999998</v>
      </c>
      <c r="R15" s="20">
        <v>4485.960999999998</v>
      </c>
      <c r="V15" s="30" t="s">
        <v>93</v>
      </c>
      <c r="W15" s="21"/>
      <c r="X15" s="26">
        <v>88818.927</v>
      </c>
      <c r="Y15" s="35"/>
      <c r="Z15" s="35">
        <f t="shared" si="0"/>
        <v>0.2872110111241252</v>
      </c>
    </row>
    <row r="16" spans="2:26" ht="12.75">
      <c r="B16" t="s">
        <v>9</v>
      </c>
      <c r="C16" s="3">
        <v>3171.871</v>
      </c>
      <c r="F16" s="1" t="s">
        <v>25</v>
      </c>
      <c r="G16" s="1" t="s">
        <v>26</v>
      </c>
      <c r="H16" s="1" t="s">
        <v>69</v>
      </c>
      <c r="I16" s="1" t="s">
        <v>70</v>
      </c>
      <c r="J16" s="1"/>
      <c r="K16" s="1"/>
      <c r="M16" s="19"/>
      <c r="N16" s="19" t="s">
        <v>11</v>
      </c>
      <c r="O16" s="20"/>
      <c r="P16" s="20">
        <v>1168.76</v>
      </c>
      <c r="R16" s="20">
        <v>1168.76</v>
      </c>
      <c r="Y16" s="2"/>
      <c r="Z16" s="2"/>
    </row>
    <row r="17" spans="2:26" ht="12.75">
      <c r="B17" t="s">
        <v>6</v>
      </c>
      <c r="C17" s="3">
        <v>2796.7670000000007</v>
      </c>
      <c r="F17" s="19" t="s">
        <v>35</v>
      </c>
      <c r="G17" s="19" t="s">
        <v>61</v>
      </c>
      <c r="H17" s="20">
        <v>46103.72699999999</v>
      </c>
      <c r="I17" s="20">
        <v>560</v>
      </c>
      <c r="J17" s="20"/>
      <c r="K17" s="20"/>
      <c r="M17" s="19"/>
      <c r="N17" s="19" t="s">
        <v>12</v>
      </c>
      <c r="O17" s="25">
        <v>56058.492000000035</v>
      </c>
      <c r="P17" s="25">
        <v>19553.9815</v>
      </c>
      <c r="R17" s="20">
        <v>75612.47350000004</v>
      </c>
      <c r="V17" t="s">
        <v>12</v>
      </c>
      <c r="W17" t="s">
        <v>83</v>
      </c>
      <c r="X17" s="20">
        <v>73426.37300000007</v>
      </c>
      <c r="Y17" s="34">
        <f>+X17/$X$20</f>
        <v>0.9710880969923568</v>
      </c>
      <c r="Z17" s="34">
        <f>+X17/$X$56</f>
        <v>0.23743658637654097</v>
      </c>
    </row>
    <row r="18" spans="2:26" ht="12.75">
      <c r="B18" t="s">
        <v>21</v>
      </c>
      <c r="C18" s="3">
        <v>2430.4759999999997</v>
      </c>
      <c r="F18" s="19"/>
      <c r="G18" s="19" t="s">
        <v>63</v>
      </c>
      <c r="H18" s="20">
        <v>37207.652500000026</v>
      </c>
      <c r="I18" s="20">
        <v>436</v>
      </c>
      <c r="J18" s="20"/>
      <c r="K18" s="20"/>
      <c r="M18" s="19"/>
      <c r="N18" s="19" t="s">
        <v>13</v>
      </c>
      <c r="O18" s="25">
        <v>36152.05500000008</v>
      </c>
      <c r="P18" s="20">
        <v>2287.703</v>
      </c>
      <c r="R18" s="20">
        <v>38439.75800000008</v>
      </c>
      <c r="W18" t="s">
        <v>81</v>
      </c>
      <c r="X18" s="20">
        <v>1911.3505</v>
      </c>
      <c r="Y18" s="34">
        <f>+X18/$X$20</f>
        <v>0.025278243278207244</v>
      </c>
      <c r="Z18" s="34">
        <f>+X18/$X$56</f>
        <v>0.0061806748658155075</v>
      </c>
    </row>
    <row r="19" spans="2:26" ht="12.75">
      <c r="B19" t="s">
        <v>19</v>
      </c>
      <c r="C19" s="3">
        <v>1331.3069999999998</v>
      </c>
      <c r="F19" s="19"/>
      <c r="G19" s="19" t="s">
        <v>54</v>
      </c>
      <c r="H19" s="20">
        <v>15163.309</v>
      </c>
      <c r="I19" s="20">
        <v>168</v>
      </c>
      <c r="J19" s="20"/>
      <c r="K19" s="20"/>
      <c r="M19" s="19"/>
      <c r="N19" s="19" t="s">
        <v>14</v>
      </c>
      <c r="O19" s="20">
        <v>12436.52200000001</v>
      </c>
      <c r="P19" s="25">
        <v>76382.40500000009</v>
      </c>
      <c r="R19" s="20">
        <v>88818.9270000001</v>
      </c>
      <c r="W19" t="s">
        <v>82</v>
      </c>
      <c r="X19" s="20">
        <v>274.75</v>
      </c>
      <c r="Y19" s="34">
        <f>+X19/$X$20</f>
        <v>0.0036336597294360402</v>
      </c>
      <c r="Z19" s="34">
        <f>+X19/$X$56</f>
        <v>0.000888450558588187</v>
      </c>
    </row>
    <row r="20" spans="2:26" ht="13.5" thickBot="1">
      <c r="B20" t="s">
        <v>11</v>
      </c>
      <c r="C20" s="3">
        <v>1168.76</v>
      </c>
      <c r="F20" s="19"/>
      <c r="G20" s="19" t="s">
        <v>36</v>
      </c>
      <c r="H20" s="20">
        <v>15012.212499999998</v>
      </c>
      <c r="I20" s="20">
        <v>184</v>
      </c>
      <c r="J20" s="20"/>
      <c r="K20" s="20"/>
      <c r="L20" s="23">
        <f>SUM(H17:H28)</f>
        <v>154809.1235</v>
      </c>
      <c r="M20" s="19"/>
      <c r="N20" s="19" t="s">
        <v>15</v>
      </c>
      <c r="O20" s="20"/>
      <c r="P20" s="20">
        <v>266.98900000000003</v>
      </c>
      <c r="R20" s="20">
        <v>266.98900000000003</v>
      </c>
      <c r="V20" s="30" t="s">
        <v>84</v>
      </c>
      <c r="W20" s="21"/>
      <c r="X20" s="26">
        <v>75612.47350000007</v>
      </c>
      <c r="Y20" s="36"/>
      <c r="Z20" s="35">
        <f>+X20/$X$56</f>
        <v>0.2445057118009447</v>
      </c>
    </row>
    <row r="21" spans="2:26" ht="12.75">
      <c r="B21" t="s">
        <v>7</v>
      </c>
      <c r="C21" s="3">
        <v>572.4725</v>
      </c>
      <c r="F21" s="19"/>
      <c r="G21" s="19" t="s">
        <v>245</v>
      </c>
      <c r="H21" s="20">
        <v>7778.964499999999</v>
      </c>
      <c r="I21" s="20">
        <v>96</v>
      </c>
      <c r="J21" s="20"/>
      <c r="K21" s="20"/>
      <c r="L21">
        <f>+L20/168765</f>
        <v>0.9173058602198322</v>
      </c>
      <c r="M21" s="19"/>
      <c r="N21" s="19" t="s">
        <v>16</v>
      </c>
      <c r="O21" s="20"/>
      <c r="P21" s="25">
        <v>15060.292500000005</v>
      </c>
      <c r="R21" s="20">
        <v>15060.292500000005</v>
      </c>
      <c r="Y21" s="2"/>
      <c r="Z21" s="2"/>
    </row>
    <row r="22" spans="2:26" ht="12.75">
      <c r="B22" t="s">
        <v>8</v>
      </c>
      <c r="C22" s="3">
        <v>379.35</v>
      </c>
      <c r="F22" s="19"/>
      <c r="G22" s="19" t="s">
        <v>47</v>
      </c>
      <c r="H22" s="20">
        <v>6395.05</v>
      </c>
      <c r="I22" s="20">
        <v>74</v>
      </c>
      <c r="J22" s="20"/>
      <c r="K22" s="20"/>
      <c r="M22" s="19"/>
      <c r="N22" s="19" t="s">
        <v>17</v>
      </c>
      <c r="O22" s="20"/>
      <c r="P22" s="20">
        <v>5426.102999999999</v>
      </c>
      <c r="R22" s="20">
        <v>5426.102999999999</v>
      </c>
      <c r="V22" t="s">
        <v>13</v>
      </c>
      <c r="W22" t="s">
        <v>86</v>
      </c>
      <c r="X22" s="20">
        <v>22137.364</v>
      </c>
      <c r="Y22" s="34">
        <f>+X22/$X$25</f>
        <v>0.5758975901981485</v>
      </c>
      <c r="Z22" s="34">
        <f aca="true" t="shared" si="1" ref="Z22:Z54">+X22/$X$56</f>
        <v>0.07158490777605105</v>
      </c>
    </row>
    <row r="23" spans="2:26" ht="12.75">
      <c r="B23" t="s">
        <v>15</v>
      </c>
      <c r="C23" s="3">
        <v>266.98900000000003</v>
      </c>
      <c r="F23" s="19"/>
      <c r="G23" s="19" t="s">
        <v>39</v>
      </c>
      <c r="H23" s="20">
        <v>6227.054499999996</v>
      </c>
      <c r="I23" s="20">
        <v>77</v>
      </c>
      <c r="J23" s="20"/>
      <c r="K23" s="20"/>
      <c r="M23" s="19"/>
      <c r="N23" s="19" t="s">
        <v>18</v>
      </c>
      <c r="O23" s="20">
        <v>63.3825</v>
      </c>
      <c r="P23" s="20"/>
      <c r="R23" s="20">
        <v>63.3825</v>
      </c>
      <c r="W23" t="s">
        <v>85</v>
      </c>
      <c r="X23" s="20">
        <v>13476.671000000002</v>
      </c>
      <c r="Y23" s="34">
        <f>+X23/$X$25</f>
        <v>0.3505919834354837</v>
      </c>
      <c r="Z23" s="34">
        <f t="shared" si="1"/>
        <v>0.04357909327701264</v>
      </c>
    </row>
    <row r="24" spans="2:26" ht="12.75">
      <c r="B24" t="s">
        <v>18</v>
      </c>
      <c r="C24" s="3">
        <v>63.3825</v>
      </c>
      <c r="F24" s="19"/>
      <c r="G24" s="19" t="s">
        <v>66</v>
      </c>
      <c r="H24" s="20">
        <v>5418.331999999999</v>
      </c>
      <c r="I24" s="20">
        <v>59</v>
      </c>
      <c r="J24" s="20"/>
      <c r="K24" s="20"/>
      <c r="M24" s="19"/>
      <c r="N24" s="19" t="s">
        <v>19</v>
      </c>
      <c r="O24" s="20"/>
      <c r="P24" s="20">
        <v>1331.3069999999996</v>
      </c>
      <c r="R24" s="20">
        <v>1331.3069999999996</v>
      </c>
      <c r="W24" t="s">
        <v>110</v>
      </c>
      <c r="X24" s="23">
        <v>2825.723</v>
      </c>
      <c r="Y24" s="34">
        <f>+X24/$X$25</f>
        <v>0.07351042636636786</v>
      </c>
      <c r="Z24" s="34">
        <f t="shared" si="1"/>
        <v>0.009137452876307508</v>
      </c>
    </row>
    <row r="25" spans="6:26" ht="13.5" thickBot="1">
      <c r="F25" s="19"/>
      <c r="G25" s="19" t="s">
        <v>56</v>
      </c>
      <c r="H25" s="20">
        <v>4402.390500000002</v>
      </c>
      <c r="I25" s="20">
        <v>91</v>
      </c>
      <c r="J25" s="20"/>
      <c r="K25" s="20"/>
      <c r="M25" s="19"/>
      <c r="N25" s="19" t="s">
        <v>20</v>
      </c>
      <c r="O25" s="25">
        <v>14668.5395</v>
      </c>
      <c r="P25" s="25">
        <v>13615.841500000008</v>
      </c>
      <c r="R25" s="20">
        <v>28284.38100000001</v>
      </c>
      <c r="V25" s="30" t="s">
        <v>88</v>
      </c>
      <c r="W25" s="21"/>
      <c r="X25" s="26">
        <v>38439.758</v>
      </c>
      <c r="Y25" s="36"/>
      <c r="Z25" s="35">
        <f t="shared" si="1"/>
        <v>0.12430145392937118</v>
      </c>
    </row>
    <row r="26" spans="2:26" ht="13.5" thickBot="1">
      <c r="B26" s="21" t="s">
        <v>22</v>
      </c>
      <c r="C26" s="22">
        <v>309246.246</v>
      </c>
      <c r="F26" s="19"/>
      <c r="G26" s="19" t="s">
        <v>38</v>
      </c>
      <c r="H26" s="20">
        <v>4103.8865000000005</v>
      </c>
      <c r="I26" s="20">
        <v>53</v>
      </c>
      <c r="J26" s="20"/>
      <c r="K26" s="20"/>
      <c r="M26" s="19"/>
      <c r="N26" s="19" t="s">
        <v>21</v>
      </c>
      <c r="O26" s="20">
        <v>2340.45</v>
      </c>
      <c r="P26" s="20">
        <v>90.026</v>
      </c>
      <c r="R26" s="20">
        <v>2430.4759999999997</v>
      </c>
      <c r="Y26" s="2"/>
      <c r="Z26" s="2"/>
    </row>
    <row r="27" spans="6:26" ht="12.75">
      <c r="F27" s="19"/>
      <c r="G27" s="19" t="s">
        <v>42</v>
      </c>
      <c r="H27" s="20">
        <v>3525.544500000001</v>
      </c>
      <c r="I27" s="20">
        <v>40</v>
      </c>
      <c r="J27" s="20"/>
      <c r="K27" s="20"/>
      <c r="M27" s="19"/>
      <c r="V27" t="s">
        <v>5</v>
      </c>
      <c r="W27" t="s">
        <v>78</v>
      </c>
      <c r="X27" s="20">
        <v>8754.074999999999</v>
      </c>
      <c r="Y27" s="34">
        <f>+X27/$X$31</f>
        <v>0.23927725767324073</v>
      </c>
      <c r="Z27" s="34">
        <f t="shared" si="1"/>
        <v>0.028307780977881284</v>
      </c>
    </row>
    <row r="28" spans="6:26" ht="13.5" thickBot="1">
      <c r="F28" s="19"/>
      <c r="G28" s="19" t="s">
        <v>57</v>
      </c>
      <c r="H28" s="20">
        <v>3471</v>
      </c>
      <c r="I28" s="20">
        <v>46</v>
      </c>
      <c r="J28" s="20"/>
      <c r="K28" s="20"/>
      <c r="M28" s="19"/>
      <c r="N28" s="21" t="s">
        <v>22</v>
      </c>
      <c r="O28" s="26">
        <v>140481.01200000016</v>
      </c>
      <c r="P28" s="26">
        <v>168765.23400000005</v>
      </c>
      <c r="Q28" s="26"/>
      <c r="R28" s="26">
        <v>309246.24600000016</v>
      </c>
      <c r="W28" t="s">
        <v>79</v>
      </c>
      <c r="X28" s="20">
        <v>8081.904000000001</v>
      </c>
      <c r="Y28" s="34">
        <f>+X28/$X$31</f>
        <v>0.22090464451108718</v>
      </c>
      <c r="Z28" s="34">
        <f t="shared" si="1"/>
        <v>0.02613420245043168</v>
      </c>
    </row>
    <row r="29" spans="6:26" ht="12.75">
      <c r="F29" s="19"/>
      <c r="G29" s="19" t="s">
        <v>44</v>
      </c>
      <c r="H29" s="20">
        <v>2761.865500000001</v>
      </c>
      <c r="I29" s="20">
        <v>46</v>
      </c>
      <c r="J29" s="20"/>
      <c r="K29" s="20"/>
      <c r="M29" s="19"/>
      <c r="N29" s="19"/>
      <c r="W29" t="s">
        <v>77</v>
      </c>
      <c r="X29" s="20">
        <v>3768.712</v>
      </c>
      <c r="Y29" s="34">
        <f>+X29/$X$31</f>
        <v>0.10301112022917722</v>
      </c>
      <c r="Z29" s="34">
        <f t="shared" si="1"/>
        <v>0.012186767175825309</v>
      </c>
    </row>
    <row r="30" spans="6:26" ht="12.75">
      <c r="F30" s="19"/>
      <c r="G30" s="19" t="s">
        <v>48</v>
      </c>
      <c r="H30" s="20">
        <v>1762.5605</v>
      </c>
      <c r="I30" s="20">
        <v>19</v>
      </c>
      <c r="J30" s="20"/>
      <c r="K30" s="20"/>
      <c r="M30" s="19"/>
      <c r="N30" s="19"/>
      <c r="W30" t="s">
        <v>109</v>
      </c>
      <c r="X30" s="23">
        <v>15980.796000000002</v>
      </c>
      <c r="Y30" s="34">
        <f>+X30/$X$31</f>
        <v>0.43680697758649495</v>
      </c>
      <c r="Z30" s="34">
        <f t="shared" si="1"/>
        <v>0.051676604669277044</v>
      </c>
    </row>
    <row r="31" spans="6:26" ht="13.5" thickBot="1">
      <c r="F31" s="19"/>
      <c r="G31" s="19" t="s">
        <v>62</v>
      </c>
      <c r="H31" s="20">
        <v>1156.535</v>
      </c>
      <c r="I31" s="20">
        <v>12</v>
      </c>
      <c r="J31" s="20"/>
      <c r="K31" s="20"/>
      <c r="M31" s="19"/>
      <c r="N31" s="19"/>
      <c r="V31" s="27" t="s">
        <v>80</v>
      </c>
      <c r="W31" s="21"/>
      <c r="X31" s="26">
        <v>36585.487</v>
      </c>
      <c r="Y31" s="21"/>
      <c r="Z31" s="35">
        <f t="shared" si="1"/>
        <v>0.11830535527341532</v>
      </c>
    </row>
    <row r="32" spans="6:14" ht="12.75">
      <c r="F32" s="19"/>
      <c r="G32" s="19" t="s">
        <v>60</v>
      </c>
      <c r="H32" s="20">
        <v>928.781499999999</v>
      </c>
      <c r="I32" s="20">
        <v>38</v>
      </c>
      <c r="J32" s="20"/>
      <c r="K32" s="20"/>
      <c r="M32" s="19"/>
      <c r="N32" s="19"/>
    </row>
    <row r="33" spans="6:26" ht="12.75">
      <c r="F33" s="19"/>
      <c r="G33" s="19" t="s">
        <v>59</v>
      </c>
      <c r="H33" s="20">
        <v>908.25</v>
      </c>
      <c r="I33" s="20">
        <v>9</v>
      </c>
      <c r="J33" s="20"/>
      <c r="K33" s="20"/>
      <c r="M33" s="19"/>
      <c r="N33" s="15" t="s">
        <v>76</v>
      </c>
      <c r="V33" t="s">
        <v>20</v>
      </c>
      <c r="W33" t="s">
        <v>101</v>
      </c>
      <c r="X33" s="23">
        <v>19293.101</v>
      </c>
      <c r="Y33" s="34">
        <f>+X33/$X$37</f>
        <v>0.6821114805376155</v>
      </c>
      <c r="Z33" s="34">
        <f t="shared" si="1"/>
        <v>0.06238750267642697</v>
      </c>
    </row>
    <row r="34" spans="6:26" ht="12.75">
      <c r="F34" s="19"/>
      <c r="G34" s="19" t="s">
        <v>51</v>
      </c>
      <c r="H34" s="20">
        <v>885.87</v>
      </c>
      <c r="I34" s="20">
        <v>10</v>
      </c>
      <c r="J34" s="20"/>
      <c r="K34" s="20"/>
      <c r="M34" s="19"/>
      <c r="N34" s="19"/>
      <c r="W34" t="s">
        <v>102</v>
      </c>
      <c r="X34" s="23">
        <v>3017.24</v>
      </c>
      <c r="Y34" s="34">
        <f>+X34/$X$37</f>
        <v>0.10667512928778608</v>
      </c>
      <c r="Z34" s="34">
        <f t="shared" si="1"/>
        <v>0.009756755462764773</v>
      </c>
    </row>
    <row r="35" spans="6:26" ht="12.75">
      <c r="F35" s="19"/>
      <c r="G35" s="19" t="s">
        <v>64</v>
      </c>
      <c r="H35" s="20">
        <v>690.8</v>
      </c>
      <c r="I35" s="20">
        <v>8</v>
      </c>
      <c r="J35" s="20"/>
      <c r="K35" s="20"/>
      <c r="M35" s="19"/>
      <c r="N35" s="19"/>
      <c r="O35" s="77" t="s">
        <v>25</v>
      </c>
      <c r="P35" s="77"/>
      <c r="W35" t="s">
        <v>100</v>
      </c>
      <c r="X35" s="23">
        <v>2802.5849999999996</v>
      </c>
      <c r="Y35" s="34">
        <f>+X35/$X$37</f>
        <v>0.09908595843055572</v>
      </c>
      <c r="Z35" s="34">
        <f t="shared" si="1"/>
        <v>0.009062632242914918</v>
      </c>
    </row>
    <row r="36" spans="6:26" ht="12.75">
      <c r="F36" s="19"/>
      <c r="G36" s="19" t="s">
        <v>49</v>
      </c>
      <c r="H36" s="20">
        <v>681.435</v>
      </c>
      <c r="I36" s="20">
        <v>9</v>
      </c>
      <c r="J36" s="20"/>
      <c r="K36" s="20"/>
      <c r="M36" s="19"/>
      <c r="N36" s="19"/>
      <c r="R36" s="11" t="s">
        <v>443</v>
      </c>
      <c r="W36" t="s">
        <v>112</v>
      </c>
      <c r="X36" s="23">
        <v>3171.455</v>
      </c>
      <c r="Y36" s="34">
        <f>+X36/$X$37</f>
        <v>0.11212743174404277</v>
      </c>
      <c r="Z36" s="34">
        <f t="shared" si="1"/>
        <v>0.010255435728070241</v>
      </c>
    </row>
    <row r="37" spans="6:26" ht="13.5" thickBot="1">
      <c r="F37" s="19"/>
      <c r="G37" s="19" t="s">
        <v>53</v>
      </c>
      <c r="H37" s="20">
        <v>598.2</v>
      </c>
      <c r="I37" s="20">
        <v>6</v>
      </c>
      <c r="J37" s="20"/>
      <c r="K37" s="20"/>
      <c r="M37" s="19"/>
      <c r="N37" s="24" t="s">
        <v>73</v>
      </c>
      <c r="O37" s="24" t="s">
        <v>27</v>
      </c>
      <c r="P37" s="24" t="s">
        <v>35</v>
      </c>
      <c r="R37" s="24" t="s">
        <v>442</v>
      </c>
      <c r="S37" s="28" t="s">
        <v>441</v>
      </c>
      <c r="V37" s="30" t="s">
        <v>103</v>
      </c>
      <c r="W37" s="21"/>
      <c r="X37" s="26">
        <v>28284.380999999998</v>
      </c>
      <c r="Y37" s="21"/>
      <c r="Z37" s="35">
        <f t="shared" si="1"/>
        <v>0.09146232611017689</v>
      </c>
    </row>
    <row r="38" spans="6:19" ht="12.75">
      <c r="F38" s="19"/>
      <c r="G38" s="19" t="s">
        <v>58</v>
      </c>
      <c r="H38" s="20">
        <v>493.55</v>
      </c>
      <c r="I38" s="20">
        <v>6</v>
      </c>
      <c r="J38" s="20"/>
      <c r="K38" s="20"/>
      <c r="M38" s="19"/>
      <c r="N38" s="19" t="s">
        <v>74</v>
      </c>
      <c r="O38" s="20">
        <v>148</v>
      </c>
      <c r="P38" s="20">
        <v>167121.07300000003</v>
      </c>
      <c r="Q38" s="20"/>
      <c r="R38" s="20">
        <v>167269.07300000003</v>
      </c>
      <c r="S38" s="34">
        <f>+R38/R41</f>
        <v>0.5408928165291303</v>
      </c>
    </row>
    <row r="39" spans="6:26" ht="12.75">
      <c r="F39" s="19"/>
      <c r="G39" s="19" t="s">
        <v>43</v>
      </c>
      <c r="H39" s="20">
        <v>450.35</v>
      </c>
      <c r="I39" s="20">
        <v>13</v>
      </c>
      <c r="J39" s="20"/>
      <c r="K39" s="20"/>
      <c r="M39" s="19"/>
      <c r="N39" s="19" t="s">
        <v>75</v>
      </c>
      <c r="O39" s="20">
        <v>140333.0119999994</v>
      </c>
      <c r="P39" s="20">
        <v>1644.161</v>
      </c>
      <c r="Q39" s="20"/>
      <c r="R39" s="20">
        <v>141977.1729999994</v>
      </c>
      <c r="S39" s="34">
        <f>+R39/R41</f>
        <v>0.4591071834708695</v>
      </c>
      <c r="V39" t="s">
        <v>16</v>
      </c>
      <c r="W39" t="s">
        <v>94</v>
      </c>
      <c r="X39" s="23">
        <v>14970.157500000005</v>
      </c>
      <c r="Y39" s="34">
        <f>+X39/$X$41</f>
        <v>0.9940150564804767</v>
      </c>
      <c r="Z39" s="34">
        <f t="shared" si="1"/>
        <v>0.04840853427853737</v>
      </c>
    </row>
    <row r="40" spans="6:26" ht="12.75">
      <c r="F40" s="19"/>
      <c r="G40" s="19" t="s">
        <v>319</v>
      </c>
      <c r="H40" s="20">
        <v>444.6</v>
      </c>
      <c r="I40" s="20">
        <v>5</v>
      </c>
      <c r="J40" s="20"/>
      <c r="K40" s="20"/>
      <c r="M40" s="19"/>
      <c r="W40" t="s">
        <v>95</v>
      </c>
      <c r="X40" s="23">
        <v>90.135</v>
      </c>
      <c r="Y40" s="34">
        <f>+X40/$X$41</f>
        <v>0.005984943519523275</v>
      </c>
      <c r="Z40" s="34">
        <f t="shared" si="1"/>
        <v>0.00029146675558997724</v>
      </c>
    </row>
    <row r="41" spans="6:26" ht="13.5" thickBot="1">
      <c r="F41" s="19"/>
      <c r="G41" s="19" t="s">
        <v>37</v>
      </c>
      <c r="H41" s="20">
        <v>398.7605</v>
      </c>
      <c r="I41" s="20">
        <v>5</v>
      </c>
      <c r="J41" s="20"/>
      <c r="K41" s="20"/>
      <c r="M41" s="19"/>
      <c r="N41" s="21" t="s">
        <v>22</v>
      </c>
      <c r="O41" s="26">
        <v>140481.0119999994</v>
      </c>
      <c r="P41" s="26">
        <v>168765.23400000003</v>
      </c>
      <c r="Q41" s="26"/>
      <c r="R41" s="26">
        <v>309246.24599999946</v>
      </c>
      <c r="S41" s="52"/>
      <c r="V41" s="30" t="s">
        <v>96</v>
      </c>
      <c r="W41" s="21"/>
      <c r="X41" s="26">
        <v>15060.292500000005</v>
      </c>
      <c r="Y41" s="21"/>
      <c r="Z41" s="35">
        <f t="shared" si="1"/>
        <v>0.048700001034127346</v>
      </c>
    </row>
    <row r="42" spans="6:14" ht="12.75">
      <c r="F42" s="19"/>
      <c r="G42" s="19" t="s">
        <v>46</v>
      </c>
      <c r="H42" s="20">
        <v>347.39</v>
      </c>
      <c r="I42" s="20">
        <v>5</v>
      </c>
      <c r="J42" s="20"/>
      <c r="K42" s="20"/>
      <c r="M42" s="19"/>
      <c r="N42" s="19"/>
    </row>
    <row r="43" spans="6:26" ht="12.75">
      <c r="F43" s="19"/>
      <c r="G43" s="19" t="s">
        <v>52</v>
      </c>
      <c r="H43" s="20">
        <v>323.31149999999997</v>
      </c>
      <c r="I43" s="20">
        <v>4</v>
      </c>
      <c r="J43" s="20"/>
      <c r="K43" s="20"/>
      <c r="M43" s="19"/>
      <c r="N43" s="19"/>
      <c r="V43" s="33" t="s">
        <v>17</v>
      </c>
      <c r="W43" s="31"/>
      <c r="X43" s="32">
        <v>5426.102999999999</v>
      </c>
      <c r="Z43" s="34">
        <f t="shared" si="1"/>
        <v>0.01754622107846055</v>
      </c>
    </row>
    <row r="44" spans="6:26" ht="12.75">
      <c r="F44" s="19"/>
      <c r="G44" s="19" t="s">
        <v>40</v>
      </c>
      <c r="H44" s="20">
        <v>273.525</v>
      </c>
      <c r="I44" s="20">
        <v>3</v>
      </c>
      <c r="J44" s="20"/>
      <c r="K44" s="20"/>
      <c r="M44" s="19"/>
      <c r="N44" s="19"/>
      <c r="V44" s="33" t="s">
        <v>10</v>
      </c>
      <c r="W44" s="31"/>
      <c r="X44" s="32">
        <v>4485.960999999999</v>
      </c>
      <c r="Z44" s="34">
        <f t="shared" si="1"/>
        <v>0.014506113034594438</v>
      </c>
    </row>
    <row r="45" spans="6:26" ht="12.75">
      <c r="F45" s="19"/>
      <c r="G45" s="19" t="s">
        <v>65</v>
      </c>
      <c r="H45" s="20">
        <v>255.072</v>
      </c>
      <c r="I45" s="20">
        <v>3</v>
      </c>
      <c r="J45" s="20"/>
      <c r="K45" s="20"/>
      <c r="M45" s="19"/>
      <c r="N45" s="19"/>
      <c r="O45" s="77" t="s">
        <v>25</v>
      </c>
      <c r="P45" s="77"/>
      <c r="V45" s="33" t="s">
        <v>23</v>
      </c>
      <c r="W45" s="31"/>
      <c r="X45" s="32">
        <v>4351.488</v>
      </c>
      <c r="Z45" s="34">
        <f t="shared" si="1"/>
        <v>0.0140712718627472</v>
      </c>
    </row>
    <row r="46" spans="6:26" ht="12.75">
      <c r="F46" s="19"/>
      <c r="G46" s="19" t="s">
        <v>50</v>
      </c>
      <c r="H46" s="20">
        <v>207.5</v>
      </c>
      <c r="I46" s="20">
        <v>1</v>
      </c>
      <c r="J46" s="20"/>
      <c r="K46" s="20"/>
      <c r="M46" s="19"/>
      <c r="N46" s="19"/>
      <c r="R46" s="11" t="s">
        <v>3</v>
      </c>
      <c r="V46" s="33" t="s">
        <v>9</v>
      </c>
      <c r="W46" s="31"/>
      <c r="X46" s="32">
        <v>3171.871</v>
      </c>
      <c r="Z46" s="34">
        <f t="shared" si="1"/>
        <v>0.010256780934375511</v>
      </c>
    </row>
    <row r="47" spans="6:26" ht="12.75">
      <c r="F47" s="19"/>
      <c r="G47" s="19" t="s">
        <v>41</v>
      </c>
      <c r="H47" s="20">
        <v>174.88400000000001</v>
      </c>
      <c r="I47" s="20">
        <v>2</v>
      </c>
      <c r="J47" s="20"/>
      <c r="K47" s="20"/>
      <c r="M47" s="19"/>
      <c r="N47" s="24" t="s">
        <v>73</v>
      </c>
      <c r="O47" s="24" t="s">
        <v>27</v>
      </c>
      <c r="P47" s="24" t="s">
        <v>35</v>
      </c>
      <c r="R47" s="28" t="s">
        <v>70</v>
      </c>
      <c r="S47" s="28" t="s">
        <v>441</v>
      </c>
      <c r="V47" s="33" t="s">
        <v>6</v>
      </c>
      <c r="W47" s="31"/>
      <c r="X47" s="32">
        <v>2796.7670000000003</v>
      </c>
      <c r="Z47" s="34">
        <f t="shared" si="1"/>
        <v>0.009043818756655171</v>
      </c>
    </row>
    <row r="48" spans="6:26" ht="12.75">
      <c r="F48" s="19"/>
      <c r="G48" s="19" t="s">
        <v>45</v>
      </c>
      <c r="H48" s="20">
        <v>160.87</v>
      </c>
      <c r="I48" s="20">
        <v>2</v>
      </c>
      <c r="J48" s="20"/>
      <c r="K48" s="20"/>
      <c r="M48" s="19"/>
      <c r="N48" s="19" t="s">
        <v>74</v>
      </c>
      <c r="O48" s="20">
        <v>2</v>
      </c>
      <c r="P48" s="20">
        <v>2071</v>
      </c>
      <c r="Q48" s="20"/>
      <c r="R48" s="20">
        <v>2073</v>
      </c>
      <c r="S48" s="34">
        <f>+R48/R51</f>
        <v>0.573761417104899</v>
      </c>
      <c r="V48" s="33" t="s">
        <v>21</v>
      </c>
      <c r="W48" s="31"/>
      <c r="X48" s="32">
        <v>2430.4759999999997</v>
      </c>
      <c r="Z48" s="34">
        <f t="shared" si="1"/>
        <v>0.007859354903858716</v>
      </c>
    </row>
    <row r="49" spans="6:26" ht="12.75">
      <c r="F49" s="19"/>
      <c r="G49" s="19" t="s">
        <v>55</v>
      </c>
      <c r="H49" s="20">
        <v>52</v>
      </c>
      <c r="I49" s="20">
        <v>1</v>
      </c>
      <c r="J49" s="20"/>
      <c r="K49" s="20"/>
      <c r="M49" s="19"/>
      <c r="N49" s="19" t="s">
        <v>75</v>
      </c>
      <c r="O49" s="20">
        <v>1520</v>
      </c>
      <c r="P49" s="20">
        <v>20</v>
      </c>
      <c r="Q49" s="20"/>
      <c r="R49" s="20">
        <v>1540</v>
      </c>
      <c r="S49" s="34">
        <f>+R49/R51</f>
        <v>0.426238582895101</v>
      </c>
      <c r="V49" t="s">
        <v>19</v>
      </c>
      <c r="X49" s="3">
        <v>1331.3069999999998</v>
      </c>
      <c r="Z49" s="34">
        <f t="shared" si="1"/>
        <v>0.0043050061794444525</v>
      </c>
    </row>
    <row r="50" spans="6:26" ht="13.5" thickBot="1">
      <c r="F50" s="21" t="s">
        <v>67</v>
      </c>
      <c r="G50" s="22"/>
      <c r="H50" s="22">
        <v>168765.234</v>
      </c>
      <c r="I50" s="22">
        <v>2091</v>
      </c>
      <c r="J50" s="53"/>
      <c r="K50" s="53"/>
      <c r="M50" s="19"/>
      <c r="V50" t="s">
        <v>11</v>
      </c>
      <c r="X50" s="3">
        <v>1168.76</v>
      </c>
      <c r="Z50" s="34">
        <f t="shared" si="1"/>
        <v>0.003779382984005567</v>
      </c>
    </row>
    <row r="51" spans="13:26" ht="13.5" thickBot="1">
      <c r="M51" s="19"/>
      <c r="N51" s="21" t="s">
        <v>22</v>
      </c>
      <c r="O51" s="26">
        <v>1522</v>
      </c>
      <c r="P51" s="26">
        <v>2091</v>
      </c>
      <c r="Q51" s="52"/>
      <c r="R51" s="26">
        <v>3613</v>
      </c>
      <c r="S51" s="52"/>
      <c r="V51" s="33" t="s">
        <v>7</v>
      </c>
      <c r="W51" s="31"/>
      <c r="X51" s="32">
        <v>572.4725</v>
      </c>
      <c r="Z51" s="34">
        <f t="shared" si="1"/>
        <v>0.001851186578348957</v>
      </c>
    </row>
    <row r="52" spans="6:26" ht="13.5" thickBot="1">
      <c r="F52" s="21" t="s">
        <v>22</v>
      </c>
      <c r="G52" s="22"/>
      <c r="H52" s="22">
        <v>309246.2459999999</v>
      </c>
      <c r="I52" s="22">
        <v>3613</v>
      </c>
      <c r="J52" s="53"/>
      <c r="K52" s="53"/>
      <c r="M52" s="19"/>
      <c r="N52" s="19"/>
      <c r="V52" t="s">
        <v>8</v>
      </c>
      <c r="X52" s="3">
        <v>379.35</v>
      </c>
      <c r="Z52" s="34">
        <f t="shared" si="1"/>
        <v>0.0012266923363072931</v>
      </c>
    </row>
    <row r="53" spans="13:26" ht="12.75">
      <c r="M53" s="19"/>
      <c r="N53" s="19"/>
      <c r="O53" s="19"/>
      <c r="V53" s="31" t="s">
        <v>15</v>
      </c>
      <c r="W53" s="31"/>
      <c r="X53" s="32">
        <v>266.98900000000003</v>
      </c>
      <c r="Z53" s="34">
        <f t="shared" si="1"/>
        <v>0.0008633540534555105</v>
      </c>
    </row>
    <row r="54" spans="13:26" ht="12.75">
      <c r="M54" s="19"/>
      <c r="N54" s="19"/>
      <c r="O54" s="19"/>
      <c r="V54" t="s">
        <v>18</v>
      </c>
      <c r="X54" s="3">
        <v>63.3825</v>
      </c>
      <c r="Z54" s="34">
        <f t="shared" si="1"/>
        <v>0.00020495802558586268</v>
      </c>
    </row>
    <row r="55" spans="13:20" ht="12.75">
      <c r="M55" s="19"/>
      <c r="N55" s="19"/>
      <c r="O55" s="19"/>
      <c r="T55" s="3"/>
    </row>
    <row r="56" spans="13:24" ht="13.5" thickBot="1">
      <c r="M56" s="19"/>
      <c r="N56" s="19"/>
      <c r="O56" s="19"/>
      <c r="T56" s="3"/>
      <c r="V56" s="21" t="s">
        <v>113</v>
      </c>
      <c r="W56" s="27"/>
      <c r="X56" s="26">
        <f>+X52+X51+X48+X47+X46+X45+X44+X43+X41+X37+X31+X25+X20+X15+X53+X54+X49+X50</f>
        <v>309246.2460000001</v>
      </c>
    </row>
    <row r="57" spans="13:25" ht="12.75">
      <c r="M57" s="19"/>
      <c r="N57" s="19"/>
      <c r="O57" s="19"/>
      <c r="T57" s="3"/>
      <c r="Y57" s="29"/>
    </row>
    <row r="58" spans="13:25" ht="12.75">
      <c r="M58" s="19"/>
      <c r="N58" s="19"/>
      <c r="O58" s="19"/>
      <c r="T58" s="3"/>
      <c r="Y58" s="29"/>
    </row>
    <row r="59" spans="13:25" ht="12.75">
      <c r="M59" s="19"/>
      <c r="N59" s="19"/>
      <c r="O59" s="19"/>
      <c r="T59" s="3"/>
      <c r="Y59" s="29"/>
    </row>
    <row r="60" spans="13:25" ht="12.75">
      <c r="M60" s="19"/>
      <c r="N60" s="19"/>
      <c r="O60" s="19"/>
      <c r="T60" s="3"/>
      <c r="Y60" s="29"/>
    </row>
    <row r="61" spans="13:15" ht="12.75">
      <c r="M61" s="19"/>
      <c r="N61" s="19"/>
      <c r="O61" s="19"/>
    </row>
    <row r="62" spans="13:15" ht="12.75">
      <c r="M62" s="19"/>
      <c r="N62" s="19"/>
      <c r="O62" s="19"/>
    </row>
    <row r="63" spans="13:20" ht="12.75">
      <c r="M63" s="19"/>
      <c r="N63" s="19"/>
      <c r="O63" s="19"/>
      <c r="T63" s="3"/>
    </row>
    <row r="64" spans="13:20" ht="12.75">
      <c r="M64" s="19"/>
      <c r="N64" s="19"/>
      <c r="O64" s="19"/>
      <c r="T64" s="3"/>
    </row>
    <row r="65" spans="13:20" ht="12.75">
      <c r="M65" s="19"/>
      <c r="N65" s="19"/>
      <c r="O65" s="19"/>
      <c r="T65" s="3"/>
    </row>
    <row r="66" spans="13:20" ht="12.75">
      <c r="M66" s="19"/>
      <c r="N66" s="19"/>
      <c r="O66" s="19"/>
      <c r="T66" s="3"/>
    </row>
    <row r="67" spans="13:15" ht="12.75">
      <c r="M67" s="19"/>
      <c r="N67" s="19"/>
      <c r="O67" s="19"/>
    </row>
    <row r="68" spans="13:15" ht="12.75">
      <c r="M68" s="19"/>
      <c r="N68" s="19"/>
      <c r="O68" s="19"/>
    </row>
    <row r="69" spans="13:15" ht="12.75">
      <c r="M69" s="19"/>
      <c r="N69" s="19"/>
      <c r="O69" s="19"/>
    </row>
    <row r="70" spans="13:15" ht="12.75">
      <c r="M70" s="19"/>
      <c r="N70" s="19"/>
      <c r="O70" s="19"/>
    </row>
    <row r="71" spans="13:24" ht="12.75">
      <c r="M71" s="19"/>
      <c r="N71" s="19"/>
      <c r="O71" s="19"/>
      <c r="X71" s="20"/>
    </row>
    <row r="72" spans="13:25" ht="12.75">
      <c r="M72" s="19"/>
      <c r="N72" s="19"/>
      <c r="O72" s="19"/>
      <c r="X72" s="20"/>
      <c r="Y72" s="29"/>
    </row>
    <row r="73" spans="13:25" ht="12.75">
      <c r="M73" s="19"/>
      <c r="N73" s="19"/>
      <c r="O73" s="19"/>
      <c r="X73" s="20"/>
      <c r="Y73" s="29"/>
    </row>
    <row r="74" spans="13:24" ht="12.75">
      <c r="M74" s="19"/>
      <c r="N74" s="19"/>
      <c r="O74" s="19"/>
      <c r="X74" s="20"/>
    </row>
    <row r="75" spans="13:15" ht="12.75">
      <c r="M75" s="19"/>
      <c r="N75" s="19"/>
      <c r="O75" s="19"/>
    </row>
    <row r="76" spans="13:24" ht="12.75">
      <c r="M76" s="19"/>
      <c r="N76" s="19"/>
      <c r="O76" s="19"/>
      <c r="X76" s="20"/>
    </row>
    <row r="77" spans="13:25" ht="12.75">
      <c r="M77" s="19"/>
      <c r="N77" s="19"/>
      <c r="O77" s="19"/>
      <c r="X77" s="20"/>
      <c r="Y77" s="29"/>
    </row>
    <row r="78" spans="13:25" ht="12.75">
      <c r="M78" s="19"/>
      <c r="N78" s="19"/>
      <c r="O78" s="19"/>
      <c r="X78" s="20"/>
      <c r="Y78" s="29"/>
    </row>
    <row r="79" spans="13:24" ht="12.75">
      <c r="M79" s="19"/>
      <c r="N79" s="19"/>
      <c r="O79" s="19"/>
      <c r="X79" s="20"/>
    </row>
    <row r="80" spans="13:15" ht="12.75">
      <c r="M80" s="19"/>
      <c r="N80" s="19"/>
      <c r="O80" s="19"/>
    </row>
    <row r="81" spans="13:24" ht="12.75">
      <c r="M81" s="19"/>
      <c r="N81" s="19"/>
      <c r="O81" s="19"/>
      <c r="X81" s="20"/>
    </row>
    <row r="82" spans="13:25" ht="12.75">
      <c r="M82" s="19"/>
      <c r="N82" s="19"/>
      <c r="O82" s="19"/>
      <c r="X82" s="20"/>
      <c r="Y82" s="29"/>
    </row>
    <row r="83" spans="13:24" ht="12.75">
      <c r="M83" s="19"/>
      <c r="N83" s="19"/>
      <c r="O83" s="19"/>
      <c r="X83" s="20"/>
    </row>
    <row r="84" spans="13:25" ht="12.75">
      <c r="M84" s="19"/>
      <c r="N84" s="19"/>
      <c r="O84" s="19"/>
      <c r="X84" s="20"/>
      <c r="Y84" s="29"/>
    </row>
    <row r="85" spans="13:25" ht="12.75">
      <c r="M85" s="19"/>
      <c r="N85" s="19"/>
      <c r="O85" s="19"/>
      <c r="X85" s="20"/>
      <c r="Y85" s="29"/>
    </row>
    <row r="86" spans="13:25" ht="12.75">
      <c r="M86" s="19"/>
      <c r="N86" s="19"/>
      <c r="O86" s="19"/>
      <c r="X86" s="20"/>
      <c r="Y86" s="29"/>
    </row>
    <row r="87" spans="13:25" ht="12.75">
      <c r="M87" s="19"/>
      <c r="N87" s="19"/>
      <c r="O87" s="19"/>
      <c r="X87" s="20"/>
      <c r="Y87" s="29"/>
    </row>
    <row r="88" spans="13:15" ht="12.75">
      <c r="M88" s="19"/>
      <c r="N88" s="19"/>
      <c r="O88" s="19"/>
    </row>
    <row r="89" spans="13:15" ht="12.75">
      <c r="M89" s="19"/>
      <c r="N89" s="19"/>
      <c r="O89" s="19"/>
    </row>
    <row r="90" spans="13:15" ht="12.75">
      <c r="M90" s="19"/>
      <c r="N90" s="19"/>
      <c r="O90" s="19"/>
    </row>
    <row r="91" spans="13:25" ht="12.75">
      <c r="M91" s="19"/>
      <c r="N91" s="19"/>
      <c r="O91" s="19"/>
      <c r="X91" s="20"/>
      <c r="Y91" s="29"/>
    </row>
    <row r="92" spans="13:25" ht="12.75">
      <c r="M92" s="19"/>
      <c r="N92" s="19"/>
      <c r="O92" s="19"/>
      <c r="X92" s="20"/>
      <c r="Y92" s="29"/>
    </row>
    <row r="93" spans="13:24" ht="12.75">
      <c r="M93" s="19"/>
      <c r="N93" s="19"/>
      <c r="O93" s="19"/>
      <c r="X93" s="20"/>
    </row>
    <row r="94" spans="13:15" ht="12.75">
      <c r="M94" s="19"/>
      <c r="N94" s="19"/>
      <c r="O94" s="19"/>
    </row>
    <row r="95" spans="13:15" ht="12.75">
      <c r="M95" s="19"/>
      <c r="N95" s="19"/>
      <c r="O95" s="19"/>
    </row>
    <row r="96" spans="13:15" ht="12.75">
      <c r="M96" s="19"/>
      <c r="N96" s="19"/>
      <c r="O96" s="19"/>
    </row>
    <row r="97" spans="13:25" ht="12.75">
      <c r="M97" s="19"/>
      <c r="N97" s="19"/>
      <c r="O97" s="19"/>
      <c r="X97" s="20"/>
      <c r="Y97" s="29"/>
    </row>
    <row r="98" spans="13:24" ht="12.75">
      <c r="M98" s="19"/>
      <c r="N98" s="19"/>
      <c r="O98" s="19"/>
      <c r="X98" s="20"/>
    </row>
    <row r="99" spans="13:15" ht="12.75">
      <c r="M99" s="19"/>
      <c r="N99" s="19"/>
      <c r="O99" s="19"/>
    </row>
    <row r="100" spans="13:15" ht="12.75">
      <c r="M100" s="19"/>
      <c r="N100" s="19"/>
      <c r="O100" s="19"/>
    </row>
    <row r="101" spans="13:15" ht="12.75">
      <c r="M101" s="19"/>
      <c r="N101" s="19"/>
      <c r="O101" s="19"/>
    </row>
    <row r="102" spans="13:15" ht="12.75">
      <c r="M102" s="19"/>
      <c r="N102" s="19"/>
      <c r="O102" s="19"/>
    </row>
    <row r="103" spans="13:15" ht="12.75">
      <c r="M103" s="19"/>
      <c r="N103" s="19"/>
      <c r="O103" s="19"/>
    </row>
    <row r="104" spans="13:15" ht="12.75">
      <c r="M104" s="19"/>
      <c r="N104" s="19"/>
      <c r="O104" s="19"/>
    </row>
    <row r="105" spans="13:15" ht="12.75">
      <c r="M105" s="19"/>
      <c r="N105" s="19"/>
      <c r="O105" s="19"/>
    </row>
    <row r="106" spans="13:15" ht="12.75">
      <c r="M106" s="19"/>
      <c r="N106" s="19"/>
      <c r="O106" s="19"/>
    </row>
    <row r="107" spans="13:15" ht="12.75">
      <c r="M107" s="19"/>
      <c r="N107" s="19"/>
      <c r="O107" s="19"/>
    </row>
    <row r="108" spans="13:15" ht="12.75">
      <c r="M108" s="19"/>
      <c r="N108" s="19"/>
      <c r="O108" s="19"/>
    </row>
    <row r="109" spans="13:15" ht="12.75">
      <c r="M109" s="19"/>
      <c r="N109" s="19"/>
      <c r="O109" s="19"/>
    </row>
    <row r="110" spans="13:15" ht="12.75">
      <c r="M110" s="19"/>
      <c r="N110" s="19"/>
      <c r="O110" s="19"/>
    </row>
    <row r="111" spans="13:24" ht="12.75">
      <c r="M111" s="19"/>
      <c r="N111" s="19"/>
      <c r="O111" s="19"/>
      <c r="X111" s="20"/>
    </row>
    <row r="112" spans="13:24" ht="12.75">
      <c r="M112" s="19"/>
      <c r="N112" s="19"/>
      <c r="O112" s="19"/>
      <c r="X112" s="20"/>
    </row>
    <row r="113" spans="13:15" ht="12.75">
      <c r="M113" s="19"/>
      <c r="N113" s="19"/>
      <c r="O113" s="19"/>
    </row>
    <row r="114" spans="13:15" ht="12.75">
      <c r="M114" s="19"/>
      <c r="N114" s="19"/>
      <c r="O114" s="19"/>
    </row>
    <row r="115" spans="13:15" ht="12.75">
      <c r="M115" s="19"/>
      <c r="N115" s="19"/>
      <c r="O115" s="19"/>
    </row>
    <row r="116" spans="13:15" ht="12.75">
      <c r="M116" s="19"/>
      <c r="N116" s="19"/>
      <c r="O116" s="19"/>
    </row>
    <row r="117" spans="13:15" ht="12.75">
      <c r="M117" s="19"/>
      <c r="N117" s="19"/>
      <c r="O117" s="19"/>
    </row>
    <row r="118" spans="13:15" ht="12.75">
      <c r="M118" s="19"/>
      <c r="N118" s="19"/>
      <c r="O118" s="19"/>
    </row>
    <row r="119" spans="13:15" ht="12.75">
      <c r="M119" s="19"/>
      <c r="N119" s="19"/>
      <c r="O119" s="19"/>
    </row>
    <row r="120" spans="13:24" ht="12.75">
      <c r="M120" s="19"/>
      <c r="N120" s="19"/>
      <c r="O120" s="19"/>
      <c r="X120" s="23"/>
    </row>
    <row r="121" spans="13:24" ht="12.75">
      <c r="M121" s="19"/>
      <c r="N121" s="19"/>
      <c r="O121" s="19"/>
      <c r="X121" s="23"/>
    </row>
    <row r="122" spans="13:15" ht="12.75">
      <c r="M122" s="19"/>
      <c r="N122" s="19"/>
      <c r="O122" s="19"/>
    </row>
    <row r="123" spans="13:15" ht="12.75">
      <c r="M123" s="19"/>
      <c r="N123" s="19"/>
      <c r="O123" s="19"/>
    </row>
    <row r="124" spans="13:15" ht="12.75">
      <c r="M124" s="19"/>
      <c r="N124" s="19"/>
      <c r="O124" s="19"/>
    </row>
    <row r="125" spans="13:15" ht="12.75">
      <c r="M125" s="19"/>
      <c r="N125" s="19"/>
      <c r="O125" s="19"/>
    </row>
    <row r="126" spans="13:15" ht="12.75">
      <c r="M126" s="19"/>
      <c r="N126" s="19"/>
      <c r="O126" s="19"/>
    </row>
    <row r="127" spans="13:15" ht="12.75">
      <c r="M127" s="19"/>
      <c r="N127" s="19"/>
      <c r="O127" s="19"/>
    </row>
    <row r="128" spans="13:24" ht="12.75">
      <c r="M128" s="19"/>
      <c r="N128" s="19"/>
      <c r="O128" s="19"/>
      <c r="X128" s="23"/>
    </row>
    <row r="129" spans="13:24" ht="12.75">
      <c r="M129" s="19"/>
      <c r="N129" s="19"/>
      <c r="O129" s="19"/>
      <c r="X129" s="23"/>
    </row>
    <row r="130" spans="13:24" ht="12.75">
      <c r="M130" s="19"/>
      <c r="N130" s="19"/>
      <c r="O130" s="19"/>
      <c r="V130" t="s">
        <v>17</v>
      </c>
      <c r="W130" t="s">
        <v>97</v>
      </c>
      <c r="X130" s="23">
        <v>4267.433499999999</v>
      </c>
    </row>
    <row r="131" spans="13:24" ht="12.75">
      <c r="M131" s="19"/>
      <c r="N131" s="19"/>
      <c r="O131" s="19"/>
      <c r="W131" t="s">
        <v>98</v>
      </c>
      <c r="X131" s="23">
        <v>1158.6695000000002</v>
      </c>
    </row>
    <row r="132" spans="13:24" ht="12.75">
      <c r="M132" s="19"/>
      <c r="N132" s="19"/>
      <c r="O132" s="19"/>
      <c r="X132" s="23"/>
    </row>
    <row r="133" spans="13:15" ht="12.75">
      <c r="M133" s="19"/>
      <c r="N133" s="19"/>
      <c r="O133" s="19"/>
    </row>
    <row r="134" spans="13:24" ht="12.75">
      <c r="M134" s="19"/>
      <c r="N134" s="19"/>
      <c r="O134" s="19"/>
      <c r="X134" s="23"/>
    </row>
    <row r="135" spans="13:24" ht="12.75">
      <c r="M135" s="19"/>
      <c r="N135" s="19"/>
      <c r="O135" s="19"/>
      <c r="X135" s="23"/>
    </row>
    <row r="136" spans="13:24" ht="12.75">
      <c r="M136" s="19"/>
      <c r="N136" s="19"/>
      <c r="O136" s="19"/>
      <c r="V136" t="s">
        <v>18</v>
      </c>
      <c r="W136" t="s">
        <v>87</v>
      </c>
      <c r="X136" s="23">
        <v>63.3825</v>
      </c>
    </row>
    <row r="137" spans="13:24" ht="12.75">
      <c r="M137" s="19"/>
      <c r="N137" s="19"/>
      <c r="O137" s="19"/>
      <c r="X137" s="23"/>
    </row>
    <row r="138" spans="13:24" ht="12.75">
      <c r="M138" s="19"/>
      <c r="N138" s="19"/>
      <c r="O138" s="19"/>
      <c r="V138" t="s">
        <v>19</v>
      </c>
      <c r="W138" t="s">
        <v>99</v>
      </c>
      <c r="X138" s="23">
        <v>1331.3069999999996</v>
      </c>
    </row>
    <row r="139" spans="13:24" ht="12.75">
      <c r="M139" s="19"/>
      <c r="N139" s="19"/>
      <c r="O139" s="19"/>
      <c r="X139" s="23"/>
    </row>
    <row r="140" spans="13:15" ht="12.75">
      <c r="M140" s="19"/>
      <c r="N140" s="19"/>
      <c r="O140" s="19"/>
    </row>
    <row r="141" spans="13:15" ht="12.75">
      <c r="M141" s="19"/>
      <c r="N141" s="19"/>
      <c r="O141" s="19"/>
    </row>
    <row r="142" spans="13:15" ht="12.75">
      <c r="M142" s="19"/>
      <c r="N142" s="19"/>
      <c r="O142" s="19"/>
    </row>
    <row r="143" spans="13:15" ht="12.75">
      <c r="M143" s="19"/>
      <c r="N143" s="19"/>
      <c r="O143" s="19"/>
    </row>
    <row r="144" spans="13:15" ht="12.75">
      <c r="M144" s="19"/>
      <c r="N144" s="19"/>
      <c r="O144" s="19"/>
    </row>
    <row r="145" spans="13:15" ht="12.75">
      <c r="M145" s="19"/>
      <c r="N145" s="19"/>
      <c r="O145" s="19"/>
    </row>
    <row r="146" spans="13:24" ht="12.75">
      <c r="M146" s="19"/>
      <c r="N146" s="19"/>
      <c r="O146" s="19"/>
      <c r="X146" s="23"/>
    </row>
    <row r="147" spans="13:24" ht="12.75">
      <c r="M147" s="19"/>
      <c r="N147" s="19"/>
      <c r="O147" s="19"/>
      <c r="X147" s="23"/>
    </row>
    <row r="148" spans="13:24" ht="12.75">
      <c r="M148" s="19"/>
      <c r="N148" s="19"/>
      <c r="O148" s="19"/>
      <c r="V148" t="s">
        <v>21</v>
      </c>
      <c r="W148" t="s">
        <v>104</v>
      </c>
      <c r="X148" s="23">
        <v>2340.45</v>
      </c>
    </row>
    <row r="149" spans="13:24" ht="12.75">
      <c r="M149" s="19"/>
      <c r="N149" s="19"/>
      <c r="O149" s="19"/>
      <c r="W149" t="s">
        <v>105</v>
      </c>
      <c r="X149" s="23">
        <v>90.026</v>
      </c>
    </row>
    <row r="150" spans="13:15" ht="12.75">
      <c r="M150" s="19"/>
      <c r="N150" s="19"/>
      <c r="O150" s="19"/>
    </row>
    <row r="151" spans="13:15" ht="12.75">
      <c r="M151" s="19"/>
      <c r="N151" s="19"/>
      <c r="O151" s="19"/>
    </row>
    <row r="152" spans="13:15" ht="12.75">
      <c r="M152" s="19"/>
      <c r="N152" s="19"/>
      <c r="O152" s="19"/>
    </row>
    <row r="153" spans="13:15" ht="12.75">
      <c r="M153" s="19"/>
      <c r="N153" s="19"/>
      <c r="O153" s="19"/>
    </row>
    <row r="154" spans="13:24" ht="12.75">
      <c r="M154" s="19"/>
      <c r="N154" s="19"/>
      <c r="O154" s="19"/>
      <c r="V154" t="s">
        <v>22</v>
      </c>
      <c r="X154">
        <v>309246.2460000001</v>
      </c>
    </row>
    <row r="155" spans="13:15" ht="12.75">
      <c r="M155" s="19"/>
      <c r="N155" s="19"/>
      <c r="O155" s="19"/>
    </row>
    <row r="156" spans="13:15" ht="12.75">
      <c r="M156" s="19"/>
      <c r="N156" s="19"/>
      <c r="O156" s="19"/>
    </row>
    <row r="157" spans="13:15" ht="12.75">
      <c r="M157" s="19"/>
      <c r="N157" s="19"/>
      <c r="O157" s="19"/>
    </row>
    <row r="158" spans="13:15" ht="12.75">
      <c r="M158" s="19"/>
      <c r="N158" s="19"/>
      <c r="O158" s="19"/>
    </row>
    <row r="159" spans="13:15" ht="12.75">
      <c r="M159" s="19"/>
      <c r="N159" s="19"/>
      <c r="O159" s="19"/>
    </row>
    <row r="160" spans="13:15" ht="12.75">
      <c r="M160" s="19"/>
      <c r="N160" s="19"/>
      <c r="O160" s="19"/>
    </row>
    <row r="161" spans="13:15" ht="12.75">
      <c r="M161" s="19"/>
      <c r="N161" s="19"/>
      <c r="O161" s="19"/>
    </row>
    <row r="162" spans="13:15" ht="12.75">
      <c r="M162" s="19"/>
      <c r="N162" s="19"/>
      <c r="O162" s="19"/>
    </row>
    <row r="163" spans="13:15" ht="12.75">
      <c r="M163" s="19"/>
      <c r="N163" s="19"/>
      <c r="O163" s="19"/>
    </row>
    <row r="164" spans="13:15" ht="12.75">
      <c r="M164" s="19"/>
      <c r="N164" s="19"/>
      <c r="O164" s="19"/>
    </row>
    <row r="165" spans="13:15" ht="12.75">
      <c r="M165" s="19"/>
      <c r="N165" s="19"/>
      <c r="O165" s="19"/>
    </row>
    <row r="166" spans="13:15" ht="12.75">
      <c r="M166" s="19"/>
      <c r="N166" s="19"/>
      <c r="O166" s="19"/>
    </row>
    <row r="167" spans="13:15" ht="12.75">
      <c r="M167" s="19"/>
      <c r="N167" s="19"/>
      <c r="O167" s="19"/>
    </row>
    <row r="168" spans="13:15" ht="12.75">
      <c r="M168" s="19"/>
      <c r="N168" s="19"/>
      <c r="O168" s="19"/>
    </row>
    <row r="169" spans="13:15" ht="12.75">
      <c r="M169" s="19"/>
      <c r="N169" s="19"/>
      <c r="O169" s="19"/>
    </row>
    <row r="170" spans="13:15" ht="12.75">
      <c r="M170" s="19"/>
      <c r="N170" s="19"/>
      <c r="O170" s="19"/>
    </row>
    <row r="171" spans="13:15" ht="12.75">
      <c r="M171" s="19"/>
      <c r="N171" s="19"/>
      <c r="O171" s="19"/>
    </row>
    <row r="172" spans="13:15" ht="12.75">
      <c r="M172" s="19"/>
      <c r="N172" s="19"/>
      <c r="O172" s="19"/>
    </row>
    <row r="173" spans="13:15" ht="12.75">
      <c r="M173" s="19"/>
      <c r="N173" s="19"/>
      <c r="O173" s="19"/>
    </row>
    <row r="174" spans="13:15" ht="12.75">
      <c r="M174" s="19"/>
      <c r="N174" s="19"/>
      <c r="O174" s="19"/>
    </row>
    <row r="175" spans="13:15" ht="12.75">
      <c r="M175" s="19"/>
      <c r="N175" s="19"/>
      <c r="O175" s="19"/>
    </row>
    <row r="176" spans="13:15" ht="12.75">
      <c r="M176" s="19"/>
      <c r="N176" s="19"/>
      <c r="O176" s="19"/>
    </row>
    <row r="177" spans="13:15" ht="12.75">
      <c r="M177" s="19"/>
      <c r="N177" s="19"/>
      <c r="O177" s="19"/>
    </row>
    <row r="178" spans="13:15" ht="12.75">
      <c r="M178" s="19"/>
      <c r="N178" s="19"/>
      <c r="O178" s="19"/>
    </row>
    <row r="179" spans="13:15" ht="12.75">
      <c r="M179" s="19"/>
      <c r="N179" s="19"/>
      <c r="O179" s="19"/>
    </row>
    <row r="180" spans="13:15" ht="12.75">
      <c r="M180" s="19"/>
      <c r="N180" s="19"/>
      <c r="O180" s="19"/>
    </row>
    <row r="181" spans="13:15" ht="12.75">
      <c r="M181" s="19"/>
      <c r="N181" s="19"/>
      <c r="O181" s="19"/>
    </row>
    <row r="182" spans="13:15" ht="12.75">
      <c r="M182" s="19"/>
      <c r="N182" s="19"/>
      <c r="O182" s="19"/>
    </row>
    <row r="183" spans="13:15" ht="12.75">
      <c r="M183" s="19"/>
      <c r="N183" s="19"/>
      <c r="O183" s="19"/>
    </row>
    <row r="184" spans="13:15" ht="12.75">
      <c r="M184" s="19"/>
      <c r="N184" s="19"/>
      <c r="O184" s="19"/>
    </row>
    <row r="185" spans="13:15" ht="12.75">
      <c r="M185" s="19"/>
      <c r="N185" s="19"/>
      <c r="O185" s="19"/>
    </row>
    <row r="186" spans="13:15" ht="12.75">
      <c r="M186" s="19"/>
      <c r="N186" s="19"/>
      <c r="O186" s="19"/>
    </row>
    <row r="187" spans="13:15" ht="12.75">
      <c r="M187" s="19"/>
      <c r="N187" s="19"/>
      <c r="O187" s="19"/>
    </row>
    <row r="188" spans="13:15" ht="12.75">
      <c r="M188" s="19"/>
      <c r="N188" s="19"/>
      <c r="O188" s="19"/>
    </row>
    <row r="189" spans="13:15" ht="12.75">
      <c r="M189" s="19"/>
      <c r="N189" s="19"/>
      <c r="O189" s="19"/>
    </row>
    <row r="190" spans="13:15" ht="12.75">
      <c r="M190" s="19"/>
      <c r="N190" s="19"/>
      <c r="O190" s="19"/>
    </row>
    <row r="191" spans="13:15" ht="12.75">
      <c r="M191" s="19"/>
      <c r="N191" s="19"/>
      <c r="O191" s="19"/>
    </row>
    <row r="192" spans="13:15" ht="12.75">
      <c r="M192" s="19"/>
      <c r="N192" s="19"/>
      <c r="O192" s="19"/>
    </row>
    <row r="193" spans="13:15" ht="12.75">
      <c r="M193" s="19"/>
      <c r="N193" s="19"/>
      <c r="O193" s="19"/>
    </row>
    <row r="194" spans="13:15" ht="12.75">
      <c r="M194" s="19"/>
      <c r="N194" s="19"/>
      <c r="O194" s="19"/>
    </row>
    <row r="195" spans="13:15" ht="12.75">
      <c r="M195" s="19"/>
      <c r="N195" s="19"/>
      <c r="O195" s="19"/>
    </row>
    <row r="196" spans="13:15" ht="12.75">
      <c r="M196" s="19"/>
      <c r="N196" s="19"/>
      <c r="O196" s="19"/>
    </row>
    <row r="197" spans="13:15" ht="12.75">
      <c r="M197" s="19"/>
      <c r="N197" s="19"/>
      <c r="O197" s="19"/>
    </row>
    <row r="198" spans="13:15" ht="12.75">
      <c r="M198" s="19"/>
      <c r="N198" s="19"/>
      <c r="O198" s="19"/>
    </row>
    <row r="199" spans="13:15" ht="12.75">
      <c r="M199" s="19"/>
      <c r="N199" s="19"/>
      <c r="O199" s="19"/>
    </row>
    <row r="200" spans="13:15" ht="12.75">
      <c r="M200" s="19"/>
      <c r="N200" s="19"/>
      <c r="O200" s="19"/>
    </row>
    <row r="201" spans="13:15" ht="12.75">
      <c r="M201" s="19"/>
      <c r="N201" s="19"/>
      <c r="O201" s="19"/>
    </row>
    <row r="202" spans="13:15" ht="12.75">
      <c r="M202" s="19"/>
      <c r="N202" s="19"/>
      <c r="O202" s="19"/>
    </row>
    <row r="203" spans="13:15" ht="12.75">
      <c r="M203" s="19"/>
      <c r="N203" s="19"/>
      <c r="O203" s="19"/>
    </row>
    <row r="204" spans="13:15" ht="12.75">
      <c r="M204" s="19"/>
      <c r="N204" s="19"/>
      <c r="O204" s="19"/>
    </row>
    <row r="205" spans="13:15" ht="12.75">
      <c r="M205" s="19"/>
      <c r="N205" s="19"/>
      <c r="O205" s="19"/>
    </row>
    <row r="206" spans="13:15" ht="12.75">
      <c r="M206" s="19"/>
      <c r="N206" s="19"/>
      <c r="O206" s="19"/>
    </row>
    <row r="207" spans="13:15" ht="12.75">
      <c r="M207" s="19"/>
      <c r="N207" s="19"/>
      <c r="O207" s="19"/>
    </row>
    <row r="208" spans="13:15" ht="12.75">
      <c r="M208" s="19"/>
      <c r="N208" s="19"/>
      <c r="O208" s="19"/>
    </row>
    <row r="209" spans="13:15" ht="12.75">
      <c r="M209" s="19"/>
      <c r="N209" s="19"/>
      <c r="O209" s="19"/>
    </row>
    <row r="210" spans="13:15" ht="12.75">
      <c r="M210" s="19"/>
      <c r="N210" s="19"/>
      <c r="O210" s="19"/>
    </row>
    <row r="211" spans="13:15" ht="12.75">
      <c r="M211" s="19"/>
      <c r="N211" s="19"/>
      <c r="O211" s="19"/>
    </row>
    <row r="212" spans="13:15" ht="12.75">
      <c r="M212" s="19"/>
      <c r="N212" s="19"/>
      <c r="O212" s="19"/>
    </row>
    <row r="213" spans="13:15" ht="12.75">
      <c r="M213" s="19"/>
      <c r="N213" s="19"/>
      <c r="O213" s="19"/>
    </row>
    <row r="214" spans="13:15" ht="12.75">
      <c r="M214" s="19"/>
      <c r="N214" s="19"/>
      <c r="O214" s="19"/>
    </row>
    <row r="215" spans="13:15" ht="12.75">
      <c r="M215" s="19"/>
      <c r="N215" s="19"/>
      <c r="O215" s="19"/>
    </row>
    <row r="216" spans="13:15" ht="12.75">
      <c r="M216" s="19"/>
      <c r="N216" s="19"/>
      <c r="O216" s="19"/>
    </row>
    <row r="217" spans="13:15" ht="12.75">
      <c r="M217" s="19"/>
      <c r="N217" s="19"/>
      <c r="O217" s="19"/>
    </row>
    <row r="218" spans="13:15" ht="12.75">
      <c r="M218" s="19"/>
      <c r="N218" s="19"/>
      <c r="O218" s="19"/>
    </row>
    <row r="219" spans="13:15" ht="12.75">
      <c r="M219" s="19"/>
      <c r="N219" s="19"/>
      <c r="O219" s="19"/>
    </row>
    <row r="220" spans="13:15" ht="12.75">
      <c r="M220" s="19"/>
      <c r="N220" s="19"/>
      <c r="O220" s="19"/>
    </row>
    <row r="221" spans="13:15" ht="12.75">
      <c r="M221" s="19"/>
      <c r="N221" s="19"/>
      <c r="O221" s="19"/>
    </row>
    <row r="222" spans="13:15" ht="12.75">
      <c r="M222" s="19"/>
      <c r="N222" s="19"/>
      <c r="O222" s="19"/>
    </row>
    <row r="223" spans="13:15" ht="12.75">
      <c r="M223" s="19"/>
      <c r="N223" s="19"/>
      <c r="O223" s="19"/>
    </row>
    <row r="224" spans="13:15" ht="12.75">
      <c r="M224" s="19"/>
      <c r="N224" s="19"/>
      <c r="O224" s="19"/>
    </row>
    <row r="225" spans="13:15" ht="12.75">
      <c r="M225" s="19"/>
      <c r="N225" s="19"/>
      <c r="O225" s="19"/>
    </row>
    <row r="226" spans="13:15" ht="12.75">
      <c r="M226" s="19"/>
      <c r="N226" s="19"/>
      <c r="O226" s="19"/>
    </row>
    <row r="227" spans="13:15" ht="12.75">
      <c r="M227" s="19"/>
      <c r="N227" s="19"/>
      <c r="O227" s="19"/>
    </row>
    <row r="228" spans="13:15" ht="12.75">
      <c r="M228" s="19"/>
      <c r="N228" s="19"/>
      <c r="O228" s="19"/>
    </row>
    <row r="229" spans="13:15" ht="12.75">
      <c r="M229" s="19"/>
      <c r="N229" s="19"/>
      <c r="O229" s="19"/>
    </row>
    <row r="230" spans="13:15" ht="12.75">
      <c r="M230" s="19"/>
      <c r="N230" s="19"/>
      <c r="O230" s="19"/>
    </row>
    <row r="231" spans="13:15" ht="12.75">
      <c r="M231" s="19"/>
      <c r="N231" s="19"/>
      <c r="O231" s="19"/>
    </row>
    <row r="232" spans="13:15" ht="12.75">
      <c r="M232" s="19"/>
      <c r="N232" s="19"/>
      <c r="O232" s="19"/>
    </row>
    <row r="233" spans="13:15" ht="12.75">
      <c r="M233" s="19"/>
      <c r="N233" s="19"/>
      <c r="O233" s="19"/>
    </row>
    <row r="234" spans="13:15" ht="12.75">
      <c r="M234" s="19"/>
      <c r="N234" s="19"/>
      <c r="O234" s="19"/>
    </row>
    <row r="235" spans="13:15" ht="12.75">
      <c r="M235" s="19"/>
      <c r="N235" s="19"/>
      <c r="O235" s="19"/>
    </row>
    <row r="236" spans="13:15" ht="12.75">
      <c r="M236" s="19"/>
      <c r="N236" s="19"/>
      <c r="O236" s="19"/>
    </row>
    <row r="237" spans="13:15" ht="12.75">
      <c r="M237" s="19"/>
      <c r="N237" s="19"/>
      <c r="O237" s="19"/>
    </row>
    <row r="238" spans="13:15" ht="12.75">
      <c r="M238" s="19"/>
      <c r="N238" s="19"/>
      <c r="O238" s="19"/>
    </row>
    <row r="239" spans="13:15" ht="12.75">
      <c r="M239" s="19"/>
      <c r="N239" s="19"/>
      <c r="O239" s="19"/>
    </row>
    <row r="240" spans="13:15" ht="12.75">
      <c r="M240" s="19"/>
      <c r="N240" s="19"/>
      <c r="O240" s="19"/>
    </row>
    <row r="241" spans="13:15" ht="12.75">
      <c r="M241" s="19"/>
      <c r="N241" s="19"/>
      <c r="O241" s="19"/>
    </row>
    <row r="242" spans="13:15" ht="12.75">
      <c r="M242" s="19"/>
      <c r="N242" s="19"/>
      <c r="O242" s="19"/>
    </row>
    <row r="243" spans="13:15" ht="12.75">
      <c r="M243" s="19"/>
      <c r="N243" s="19"/>
      <c r="O243" s="19"/>
    </row>
    <row r="244" spans="13:15" ht="12.75">
      <c r="M244" s="19"/>
      <c r="N244" s="19"/>
      <c r="O244" s="19"/>
    </row>
    <row r="245" spans="13:15" ht="12.75">
      <c r="M245" s="19"/>
      <c r="N245" s="19"/>
      <c r="O245" s="19"/>
    </row>
    <row r="246" spans="13:15" ht="12.75">
      <c r="M246" s="19"/>
      <c r="N246" s="19"/>
      <c r="O246" s="19"/>
    </row>
    <row r="247" spans="13:15" ht="12.75">
      <c r="M247" s="19"/>
      <c r="N247" s="19"/>
      <c r="O247" s="19"/>
    </row>
    <row r="248" spans="13:15" ht="12.75">
      <c r="M248" s="19"/>
      <c r="N248" s="19"/>
      <c r="O248" s="19"/>
    </row>
    <row r="249" spans="13:15" ht="12.75">
      <c r="M249" s="19"/>
      <c r="N249" s="19"/>
      <c r="O249" s="19"/>
    </row>
    <row r="250" spans="13:15" ht="12.75">
      <c r="M250" s="19"/>
      <c r="N250" s="19"/>
      <c r="O250" s="19"/>
    </row>
    <row r="251" spans="13:15" ht="12.75">
      <c r="M251" s="19"/>
      <c r="N251" s="19"/>
      <c r="O251" s="19"/>
    </row>
    <row r="252" spans="13:15" ht="12.75">
      <c r="M252" s="19"/>
      <c r="N252" s="19"/>
      <c r="O252" s="19"/>
    </row>
    <row r="253" spans="13:15" ht="12.75">
      <c r="M253" s="19"/>
      <c r="N253" s="19"/>
      <c r="O253" s="19"/>
    </row>
    <row r="254" spans="13:15" ht="12.75">
      <c r="M254" s="19"/>
      <c r="N254" s="19"/>
      <c r="O254" s="19"/>
    </row>
    <row r="255" spans="13:15" ht="12.75">
      <c r="M255" s="19"/>
      <c r="N255" s="19"/>
      <c r="O255" s="19"/>
    </row>
    <row r="256" spans="13:15" ht="12.75">
      <c r="M256" s="19"/>
      <c r="N256" s="19"/>
      <c r="O256" s="19"/>
    </row>
    <row r="257" spans="13:15" ht="12.75">
      <c r="M257" s="19"/>
      <c r="N257" s="19"/>
      <c r="O257" s="19"/>
    </row>
    <row r="258" spans="13:15" ht="12.75">
      <c r="M258" s="19"/>
      <c r="N258" s="19"/>
      <c r="O258" s="19"/>
    </row>
    <row r="259" spans="13:15" ht="12.75">
      <c r="M259" s="19"/>
      <c r="N259" s="19"/>
      <c r="O259" s="19"/>
    </row>
    <row r="260" spans="13:15" ht="12.75">
      <c r="M260" s="19"/>
      <c r="N260" s="19"/>
      <c r="O260" s="19"/>
    </row>
    <row r="261" spans="13:15" ht="12.75">
      <c r="M261" s="19"/>
      <c r="N261" s="19"/>
      <c r="O261" s="19"/>
    </row>
    <row r="262" spans="13:15" ht="12.75">
      <c r="M262" s="19"/>
      <c r="N262" s="19"/>
      <c r="O262" s="19"/>
    </row>
    <row r="263" spans="13:15" ht="12.75">
      <c r="M263" s="19"/>
      <c r="N263" s="19"/>
      <c r="O263" s="19"/>
    </row>
    <row r="264" spans="13:15" ht="12.75">
      <c r="M264" s="19"/>
      <c r="N264" s="19"/>
      <c r="O264" s="19"/>
    </row>
    <row r="265" spans="13:15" ht="12.75">
      <c r="M265" s="19"/>
      <c r="N265" s="19"/>
      <c r="O265" s="19"/>
    </row>
    <row r="266" spans="13:15" ht="12.75">
      <c r="M266" s="19"/>
      <c r="N266" s="19"/>
      <c r="O266" s="19"/>
    </row>
    <row r="267" spans="13:15" ht="12.75">
      <c r="M267" s="19"/>
      <c r="N267" s="19"/>
      <c r="O267" s="19"/>
    </row>
    <row r="268" spans="13:15" ht="12.75">
      <c r="M268" s="19"/>
      <c r="N268" s="19"/>
      <c r="O268" s="19"/>
    </row>
    <row r="269" spans="13:15" ht="12.75">
      <c r="M269" s="19"/>
      <c r="N269" s="19"/>
      <c r="O269" s="19"/>
    </row>
    <row r="270" spans="13:15" ht="12.75">
      <c r="M270" s="19"/>
      <c r="N270" s="19"/>
      <c r="O270" s="19"/>
    </row>
    <row r="271" spans="13:15" ht="12.75">
      <c r="M271" s="19"/>
      <c r="N271" s="19"/>
      <c r="O271" s="19"/>
    </row>
    <row r="272" spans="13:15" ht="12.75">
      <c r="M272" s="19"/>
      <c r="N272" s="19"/>
      <c r="O272" s="19"/>
    </row>
    <row r="273" spans="13:15" ht="12.75">
      <c r="M273" s="19"/>
      <c r="N273" s="19"/>
      <c r="O273" s="19"/>
    </row>
    <row r="274" spans="13:15" ht="12.75">
      <c r="M274" s="19"/>
      <c r="N274" s="19"/>
      <c r="O274" s="19"/>
    </row>
    <row r="275" spans="13:15" ht="12.75">
      <c r="M275" s="19"/>
      <c r="N275" s="19"/>
      <c r="O275" s="19"/>
    </row>
    <row r="276" spans="13:15" ht="12.75">
      <c r="M276" s="19"/>
      <c r="N276" s="19"/>
      <c r="O276" s="19"/>
    </row>
    <row r="277" spans="13:15" ht="12.75">
      <c r="M277" s="19"/>
      <c r="N277" s="19"/>
      <c r="O277" s="19"/>
    </row>
    <row r="278" spans="13:15" ht="12.75">
      <c r="M278" s="19"/>
      <c r="N278" s="19"/>
      <c r="O278" s="19"/>
    </row>
    <row r="279" spans="13:15" ht="12.75">
      <c r="M279" s="19"/>
      <c r="N279" s="19"/>
      <c r="O279" s="19"/>
    </row>
    <row r="280" spans="13:15" ht="12.75">
      <c r="M280" s="19"/>
      <c r="N280" s="19"/>
      <c r="O280" s="19"/>
    </row>
    <row r="281" spans="13:15" ht="12.75">
      <c r="M281" s="19"/>
      <c r="N281" s="19"/>
      <c r="O281" s="19"/>
    </row>
    <row r="282" spans="13:15" ht="12.75">
      <c r="M282" s="19"/>
      <c r="N282" s="19"/>
      <c r="O282" s="19"/>
    </row>
    <row r="283" spans="13:15" ht="12.75">
      <c r="M283" s="19"/>
      <c r="N283" s="19"/>
      <c r="O283" s="19"/>
    </row>
    <row r="284" spans="13:15" ht="12.75">
      <c r="M284" s="19"/>
      <c r="N284" s="19"/>
      <c r="O284" s="19"/>
    </row>
    <row r="285" spans="13:15" ht="12.75">
      <c r="M285" s="19"/>
      <c r="N285" s="19"/>
      <c r="O285" s="19"/>
    </row>
    <row r="286" spans="13:15" ht="12.75">
      <c r="M286" s="19"/>
      <c r="N286" s="19"/>
      <c r="O286" s="19"/>
    </row>
    <row r="287" spans="13:15" ht="12.75">
      <c r="M287" s="19"/>
      <c r="N287" s="19"/>
      <c r="O287" s="19"/>
    </row>
    <row r="288" spans="13:15" ht="12.75">
      <c r="M288" s="19"/>
      <c r="N288" s="19"/>
      <c r="O288" s="19"/>
    </row>
    <row r="289" spans="13:15" ht="12.75">
      <c r="M289" s="19"/>
      <c r="N289" s="19"/>
      <c r="O289" s="19"/>
    </row>
    <row r="290" spans="13:15" ht="12.75">
      <c r="M290" s="19"/>
      <c r="N290" s="19"/>
      <c r="O290" s="19"/>
    </row>
    <row r="291" spans="13:15" ht="12.75">
      <c r="M291" s="19"/>
      <c r="N291" s="19"/>
      <c r="O291" s="19"/>
    </row>
    <row r="292" spans="13:15" ht="12.75">
      <c r="M292" s="19"/>
      <c r="N292" s="19"/>
      <c r="O292" s="19"/>
    </row>
    <row r="293" spans="13:15" ht="12.75">
      <c r="M293" s="19"/>
      <c r="N293" s="19"/>
      <c r="O293" s="19"/>
    </row>
    <row r="294" spans="13:15" ht="12.75">
      <c r="M294" s="19"/>
      <c r="N294" s="19"/>
      <c r="O294" s="19"/>
    </row>
    <row r="295" spans="13:15" ht="12.75">
      <c r="M295" s="19"/>
      <c r="N295" s="19"/>
      <c r="O295" s="19"/>
    </row>
    <row r="296" spans="13:15" ht="12.75">
      <c r="M296" s="19"/>
      <c r="N296" s="19"/>
      <c r="O296" s="19"/>
    </row>
    <row r="297" spans="13:15" ht="12.75">
      <c r="M297" s="19"/>
      <c r="N297" s="19"/>
      <c r="O297" s="19"/>
    </row>
    <row r="298" spans="13:15" ht="12.75">
      <c r="M298" s="19"/>
      <c r="N298" s="19"/>
      <c r="O298" s="19"/>
    </row>
    <row r="299" spans="13:15" ht="12.75">
      <c r="M299" s="19"/>
      <c r="N299" s="19"/>
      <c r="O299" s="19"/>
    </row>
    <row r="300" spans="13:15" ht="12.75">
      <c r="M300" s="19"/>
      <c r="N300" s="19"/>
      <c r="O300" s="19"/>
    </row>
    <row r="301" spans="13:15" ht="12.75">
      <c r="M301" s="19"/>
      <c r="N301" s="19"/>
      <c r="O301" s="19"/>
    </row>
    <row r="302" spans="13:15" ht="12.75">
      <c r="M302" s="19"/>
      <c r="N302" s="19"/>
      <c r="O302" s="19"/>
    </row>
    <row r="303" spans="13:15" ht="12.75">
      <c r="M303" s="19"/>
      <c r="N303" s="19"/>
      <c r="O303" s="19"/>
    </row>
    <row r="304" spans="13:15" ht="12.75">
      <c r="M304" s="19"/>
      <c r="N304" s="19"/>
      <c r="O304" s="19"/>
    </row>
    <row r="305" spans="13:15" ht="12.75">
      <c r="M305" s="19"/>
      <c r="N305" s="19"/>
      <c r="O305" s="19"/>
    </row>
    <row r="306" spans="13:15" ht="12.75">
      <c r="M306" s="19"/>
      <c r="N306" s="19"/>
      <c r="O306" s="19"/>
    </row>
    <row r="307" spans="13:15" ht="12.75">
      <c r="M307" s="19"/>
      <c r="N307" s="19"/>
      <c r="O307" s="19"/>
    </row>
    <row r="308" spans="13:15" ht="12.75">
      <c r="M308" s="19"/>
      <c r="N308" s="19"/>
      <c r="O308" s="19"/>
    </row>
    <row r="309" spans="13:15" ht="12.75">
      <c r="M309" s="19"/>
      <c r="N309" s="19"/>
      <c r="O309" s="19"/>
    </row>
    <row r="310" spans="13:15" ht="12.75">
      <c r="M310" s="19"/>
      <c r="N310" s="19"/>
      <c r="O310" s="19"/>
    </row>
    <row r="311" spans="13:15" ht="12.75">
      <c r="M311" s="19"/>
      <c r="N311" s="19"/>
      <c r="O311" s="19"/>
    </row>
    <row r="312" spans="13:15" ht="12.75">
      <c r="M312" s="19"/>
      <c r="N312" s="19"/>
      <c r="O312" s="19"/>
    </row>
    <row r="313" spans="13:15" ht="12.75">
      <c r="M313" s="19"/>
      <c r="N313" s="19"/>
      <c r="O313" s="19"/>
    </row>
    <row r="314" spans="13:15" ht="12.75">
      <c r="M314" s="19"/>
      <c r="N314" s="19"/>
      <c r="O314" s="19"/>
    </row>
    <row r="315" spans="13:15" ht="12.75">
      <c r="M315" s="19"/>
      <c r="N315" s="19"/>
      <c r="O315" s="19"/>
    </row>
    <row r="316" spans="13:15" ht="12.75">
      <c r="M316" s="19"/>
      <c r="N316" s="19"/>
      <c r="O316" s="19"/>
    </row>
    <row r="317" spans="13:15" ht="12.75">
      <c r="M317" s="19"/>
      <c r="N317" s="19"/>
      <c r="O317" s="19"/>
    </row>
    <row r="318" spans="13:15" ht="12.75">
      <c r="M318" s="19"/>
      <c r="N318" s="19"/>
      <c r="O318" s="19"/>
    </row>
    <row r="319" spans="13:15" ht="12.75">
      <c r="M319" s="19"/>
      <c r="N319" s="19"/>
      <c r="O319" s="19"/>
    </row>
    <row r="320" spans="13:15" ht="12.75">
      <c r="M320" s="19"/>
      <c r="N320" s="19"/>
      <c r="O320" s="19"/>
    </row>
    <row r="321" spans="13:15" ht="12.75">
      <c r="M321" s="19"/>
      <c r="N321" s="19"/>
      <c r="O321" s="19"/>
    </row>
    <row r="322" spans="13:15" ht="12.75">
      <c r="M322" s="19"/>
      <c r="N322" s="19"/>
      <c r="O322" s="19"/>
    </row>
    <row r="323" spans="13:15" ht="12.75">
      <c r="M323" s="19"/>
      <c r="N323" s="19"/>
      <c r="O323" s="19"/>
    </row>
    <row r="324" spans="13:15" ht="12.75">
      <c r="M324" s="19"/>
      <c r="N324" s="19"/>
      <c r="O324" s="19"/>
    </row>
    <row r="325" spans="13:15" ht="12.75">
      <c r="M325" s="19"/>
      <c r="N325" s="19"/>
      <c r="O325" s="19"/>
    </row>
  </sheetData>
  <mergeCells count="4">
    <mergeCell ref="O6:P6"/>
    <mergeCell ref="O35:P35"/>
    <mergeCell ref="Y7:Z7"/>
    <mergeCell ref="O45:P45"/>
  </mergeCells>
  <printOptions/>
  <pageMargins left="0.75" right="0.75" top="0.71" bottom="1" header="0.3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266"/>
  <sheetViews>
    <sheetView zoomScale="85" zoomScaleNormal="85" workbookViewId="0" topLeftCell="B1">
      <selection activeCell="C17" sqref="C17"/>
    </sheetView>
  </sheetViews>
  <sheetFormatPr defaultColWidth="9.140625" defaultRowHeight="12.75"/>
  <cols>
    <col min="2" max="2" width="32.421875" style="0" bestFit="1" customWidth="1"/>
    <col min="3" max="3" width="16.140625" style="0" bestFit="1" customWidth="1"/>
    <col min="4" max="4" width="11.28125" style="0" customWidth="1"/>
    <col min="5" max="5" width="13.421875" style="0" bestFit="1" customWidth="1"/>
    <col min="8" max="8" width="8.00390625" style="0" bestFit="1" customWidth="1"/>
    <col min="9" max="10" width="10.57421875" style="0" bestFit="1" customWidth="1"/>
    <col min="11" max="11" width="1.8515625" style="0" customWidth="1"/>
    <col min="12" max="13" width="8.7109375" style="0" customWidth="1"/>
    <col min="16" max="19" width="11.8515625" style="0" customWidth="1"/>
  </cols>
  <sheetData>
    <row r="2" ht="12.75">
      <c r="B2" s="15" t="s">
        <v>1</v>
      </c>
    </row>
    <row r="4" spans="2:4" ht="12.75">
      <c r="B4" s="6" t="s">
        <v>314</v>
      </c>
      <c r="C4" s="7">
        <v>0.825</v>
      </c>
      <c r="D4" s="7"/>
    </row>
    <row r="6" spans="9:19" ht="12.75">
      <c r="I6" s="73" t="s">
        <v>315</v>
      </c>
      <c r="J6" s="73"/>
      <c r="L6" s="73" t="s">
        <v>313</v>
      </c>
      <c r="M6" s="73"/>
      <c r="N6" s="73" t="s">
        <v>338</v>
      </c>
      <c r="O6" s="73"/>
      <c r="P6" s="78" t="s">
        <v>351</v>
      </c>
      <c r="Q6" s="78"/>
      <c r="R6" s="78" t="s">
        <v>352</v>
      </c>
      <c r="S6" s="78"/>
    </row>
    <row r="8" spans="2:19" ht="12.75">
      <c r="B8" s="1" t="s">
        <v>303</v>
      </c>
      <c r="C8" s="1" t="s">
        <v>305</v>
      </c>
      <c r="D8" s="1" t="s">
        <v>327</v>
      </c>
      <c r="E8" s="1" t="s">
        <v>306</v>
      </c>
      <c r="F8" s="1" t="s">
        <v>309</v>
      </c>
      <c r="G8" s="1" t="s">
        <v>316</v>
      </c>
      <c r="H8" s="1" t="s">
        <v>310</v>
      </c>
      <c r="I8" s="1" t="s">
        <v>311</v>
      </c>
      <c r="J8" s="1" t="s">
        <v>312</v>
      </c>
      <c r="K8" s="1"/>
      <c r="L8" s="1" t="s">
        <v>311</v>
      </c>
      <c r="M8" s="1" t="s">
        <v>312</v>
      </c>
      <c r="N8" s="1" t="s">
        <v>339</v>
      </c>
      <c r="O8" s="1" t="s">
        <v>340</v>
      </c>
      <c r="P8" s="1" t="s">
        <v>311</v>
      </c>
      <c r="Q8" s="1" t="s">
        <v>312</v>
      </c>
      <c r="R8" s="1" t="s">
        <v>311</v>
      </c>
      <c r="S8" s="1" t="s">
        <v>312</v>
      </c>
    </row>
    <row r="10" spans="2:19" ht="12.75">
      <c r="B10" t="s">
        <v>304</v>
      </c>
      <c r="C10" t="s">
        <v>307</v>
      </c>
      <c r="D10" s="8" t="s">
        <v>328</v>
      </c>
      <c r="E10" t="s">
        <v>308</v>
      </c>
      <c r="F10" s="2" t="s">
        <v>317</v>
      </c>
      <c r="G10" s="2" t="s">
        <v>318</v>
      </c>
      <c r="H10" s="3">
        <v>30000</v>
      </c>
      <c r="I10" s="4">
        <v>8.26</v>
      </c>
      <c r="J10" s="4">
        <f aca="true" t="shared" si="0" ref="J10:J15">+I10/$C$4</f>
        <v>10.012121212121212</v>
      </c>
      <c r="L10" s="5">
        <f aca="true" t="shared" si="1" ref="L10:L15">+I10*(H10/100)</f>
        <v>2478</v>
      </c>
      <c r="M10" s="5">
        <f aca="true" t="shared" si="2" ref="M10:M15">+J10*(H10/100)</f>
        <v>3003.6363636363635</v>
      </c>
      <c r="N10" s="10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6:19" ht="12.75">
      <c r="F11" s="2" t="s">
        <v>319</v>
      </c>
      <c r="G11" s="2" t="s">
        <v>320</v>
      </c>
      <c r="H11" s="3">
        <v>40000</v>
      </c>
      <c r="I11" s="4">
        <v>8.26</v>
      </c>
      <c r="J11" s="4">
        <f t="shared" si="0"/>
        <v>10.012121212121212</v>
      </c>
      <c r="L11" s="5">
        <f t="shared" si="1"/>
        <v>3304</v>
      </c>
      <c r="M11" s="5">
        <f t="shared" si="2"/>
        <v>4004.8484848484845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</row>
    <row r="12" spans="6:19" ht="12.75">
      <c r="F12" s="2" t="s">
        <v>317</v>
      </c>
      <c r="G12" s="2" t="s">
        <v>320</v>
      </c>
      <c r="H12" s="3">
        <v>36000</v>
      </c>
      <c r="I12" s="4">
        <v>8.26</v>
      </c>
      <c r="J12" s="4">
        <f t="shared" si="0"/>
        <v>10.012121212121212</v>
      </c>
      <c r="L12" s="5">
        <f t="shared" si="1"/>
        <v>2973.6</v>
      </c>
      <c r="M12" s="5">
        <f t="shared" si="2"/>
        <v>3604.363636363636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6:19" ht="12.75">
      <c r="F13" s="2" t="s">
        <v>319</v>
      </c>
      <c r="G13" s="2" t="s">
        <v>321</v>
      </c>
      <c r="H13" s="3">
        <v>40000</v>
      </c>
      <c r="I13" s="4">
        <v>8.26</v>
      </c>
      <c r="J13" s="4">
        <f t="shared" si="0"/>
        <v>10.012121212121212</v>
      </c>
      <c r="L13" s="5">
        <f t="shared" si="1"/>
        <v>3304</v>
      </c>
      <c r="M13" s="5">
        <f t="shared" si="2"/>
        <v>4004.8484848484845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6:19" ht="12.75">
      <c r="F14" s="2" t="s">
        <v>317</v>
      </c>
      <c r="G14" s="2" t="s">
        <v>321</v>
      </c>
      <c r="H14" s="3">
        <v>40000</v>
      </c>
      <c r="I14" s="4">
        <v>8.26</v>
      </c>
      <c r="J14" s="4">
        <f t="shared" si="0"/>
        <v>10.012121212121212</v>
      </c>
      <c r="L14" s="5">
        <f t="shared" si="1"/>
        <v>3304</v>
      </c>
      <c r="M14" s="5">
        <f t="shared" si="2"/>
        <v>4004.8484848484845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</row>
    <row r="15" spans="6:19" ht="12.75">
      <c r="F15" s="2" t="s">
        <v>317</v>
      </c>
      <c r="G15" s="2" t="s">
        <v>322</v>
      </c>
      <c r="H15" s="3">
        <v>45000</v>
      </c>
      <c r="I15" s="4">
        <v>8.26</v>
      </c>
      <c r="J15" s="4">
        <f t="shared" si="0"/>
        <v>10.012121212121212</v>
      </c>
      <c r="L15" s="5">
        <f t="shared" si="1"/>
        <v>3717</v>
      </c>
      <c r="M15" s="5">
        <f t="shared" si="2"/>
        <v>4505.454545454545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6:19" ht="12.75">
      <c r="F16" s="2"/>
      <c r="G16" s="2"/>
      <c r="H16" s="3"/>
      <c r="I16" s="4"/>
      <c r="J16" s="4"/>
      <c r="L16" s="5"/>
      <c r="M16" s="5"/>
      <c r="N16" s="9"/>
      <c r="O16" s="9"/>
      <c r="P16" s="9"/>
      <c r="Q16" s="9"/>
      <c r="R16" s="9"/>
      <c r="S16" s="9"/>
    </row>
    <row r="17" spans="2:19" ht="12.75">
      <c r="B17" t="s">
        <v>323</v>
      </c>
      <c r="C17" t="s">
        <v>307</v>
      </c>
      <c r="D17" s="8" t="s">
        <v>328</v>
      </c>
      <c r="E17" t="s">
        <v>308</v>
      </c>
      <c r="F17" s="2" t="s">
        <v>317</v>
      </c>
      <c r="G17" s="2" t="s">
        <v>321</v>
      </c>
      <c r="H17" s="3">
        <v>18000</v>
      </c>
      <c r="I17" s="4">
        <v>25.82</v>
      </c>
      <c r="J17" s="4">
        <f>+I17/$C$4</f>
        <v>31.2969696969697</v>
      </c>
      <c r="L17" s="5">
        <f>+I17*(H17/100)</f>
        <v>4647.6</v>
      </c>
      <c r="M17" s="5">
        <f>+J17*(H17/100)</f>
        <v>5633.454545454546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6:19" ht="12.75">
      <c r="F18" s="2"/>
      <c r="G18" s="2"/>
      <c r="H18" s="3"/>
      <c r="I18" s="4"/>
      <c r="J18" s="4"/>
      <c r="L18" s="5"/>
      <c r="M18" s="5"/>
      <c r="N18" s="9"/>
      <c r="O18" s="9"/>
      <c r="P18" s="9"/>
      <c r="Q18" s="9"/>
      <c r="R18" s="9"/>
      <c r="S18" s="9"/>
    </row>
    <row r="19" spans="2:19" ht="12.75">
      <c r="B19" t="s">
        <v>324</v>
      </c>
      <c r="C19" t="s">
        <v>307</v>
      </c>
      <c r="D19" s="8" t="s">
        <v>328</v>
      </c>
      <c r="E19" t="s">
        <v>308</v>
      </c>
      <c r="F19" s="2" t="s">
        <v>317</v>
      </c>
      <c r="G19" s="2" t="s">
        <v>318</v>
      </c>
      <c r="H19" s="3">
        <v>36000</v>
      </c>
      <c r="I19" s="4">
        <v>13.72</v>
      </c>
      <c r="J19" s="4">
        <f aca="true" t="shared" si="3" ref="J19:J32">+I19/$C$4</f>
        <v>16.630303030303033</v>
      </c>
      <c r="L19" s="5">
        <f aca="true" t="shared" si="4" ref="L19:L32">+I19*(H19/100)</f>
        <v>4939.2</v>
      </c>
      <c r="M19" s="5">
        <f aca="true" t="shared" si="5" ref="M19:M32">+J19*(H19/100)</f>
        <v>5986.909090909092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6:19" ht="12.75">
      <c r="F20" s="2" t="s">
        <v>317</v>
      </c>
      <c r="G20" s="2" t="s">
        <v>318</v>
      </c>
      <c r="H20" s="3">
        <v>17500</v>
      </c>
      <c r="I20" s="4">
        <v>21.73</v>
      </c>
      <c r="J20" s="4">
        <f t="shared" si="3"/>
        <v>26.33939393939394</v>
      </c>
      <c r="L20" s="5">
        <f t="shared" si="4"/>
        <v>3802.75</v>
      </c>
      <c r="M20" s="5">
        <f t="shared" si="5"/>
        <v>4609.393939393939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6:19" ht="12.75">
      <c r="F21" s="2" t="s">
        <v>325</v>
      </c>
      <c r="G21" s="2" t="s">
        <v>320</v>
      </c>
      <c r="H21" s="3">
        <v>41000</v>
      </c>
      <c r="I21" s="4">
        <v>13.72</v>
      </c>
      <c r="J21" s="4">
        <f t="shared" si="3"/>
        <v>16.630303030303033</v>
      </c>
      <c r="L21" s="5">
        <f t="shared" si="4"/>
        <v>5625.2</v>
      </c>
      <c r="M21" s="5">
        <f t="shared" si="5"/>
        <v>6818.424242424243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6:19" ht="12.75">
      <c r="F22" s="2" t="s">
        <v>325</v>
      </c>
      <c r="G22" s="2" t="s">
        <v>320</v>
      </c>
      <c r="H22" s="3">
        <v>22500</v>
      </c>
      <c r="I22" s="4">
        <v>21.73</v>
      </c>
      <c r="J22" s="4">
        <f t="shared" si="3"/>
        <v>26.33939393939394</v>
      </c>
      <c r="L22" s="5">
        <f t="shared" si="4"/>
        <v>4889.25</v>
      </c>
      <c r="M22" s="5">
        <f t="shared" si="5"/>
        <v>5926.363636363636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6:19" ht="12.75">
      <c r="F23" s="2" t="s">
        <v>319</v>
      </c>
      <c r="G23" s="2">
        <v>40</v>
      </c>
      <c r="H23" s="3">
        <v>40000</v>
      </c>
      <c r="I23" s="4">
        <v>13.72</v>
      </c>
      <c r="J23" s="4">
        <f t="shared" si="3"/>
        <v>16.630303030303033</v>
      </c>
      <c r="L23" s="5">
        <f t="shared" si="4"/>
        <v>5488</v>
      </c>
      <c r="M23" s="5">
        <f t="shared" si="5"/>
        <v>6652.121212121213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</row>
    <row r="24" spans="6:19" ht="12.75">
      <c r="F24" s="2" t="s">
        <v>319</v>
      </c>
      <c r="G24" s="2">
        <v>40</v>
      </c>
      <c r="H24" s="3">
        <v>22500</v>
      </c>
      <c r="I24" s="4">
        <v>21.73</v>
      </c>
      <c r="J24" s="4">
        <f t="shared" si="3"/>
        <v>26.33939393939394</v>
      </c>
      <c r="L24" s="5">
        <f t="shared" si="4"/>
        <v>4889.25</v>
      </c>
      <c r="M24" s="5">
        <f t="shared" si="5"/>
        <v>5926.363636363636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</row>
    <row r="25" spans="6:19" ht="12.75">
      <c r="F25" s="2" t="s">
        <v>317</v>
      </c>
      <c r="G25" s="2">
        <v>40</v>
      </c>
      <c r="H25" s="3">
        <v>39600</v>
      </c>
      <c r="I25" s="4">
        <v>13.72</v>
      </c>
      <c r="J25" s="4">
        <f t="shared" si="3"/>
        <v>16.630303030303033</v>
      </c>
      <c r="L25" s="5">
        <f t="shared" si="4"/>
        <v>5433.12</v>
      </c>
      <c r="M25" s="5">
        <f t="shared" si="5"/>
        <v>6585.600000000001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</row>
    <row r="26" spans="6:19" ht="12.75">
      <c r="F26" s="2" t="s">
        <v>317</v>
      </c>
      <c r="G26" s="2">
        <v>40</v>
      </c>
      <c r="H26" s="3">
        <v>22500</v>
      </c>
      <c r="I26" s="4">
        <v>21.73</v>
      </c>
      <c r="J26" s="4">
        <f t="shared" si="3"/>
        <v>26.33939393939394</v>
      </c>
      <c r="L26" s="5">
        <f t="shared" si="4"/>
        <v>4889.25</v>
      </c>
      <c r="M26" s="5">
        <f t="shared" si="5"/>
        <v>5926.363636363636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</row>
    <row r="27" spans="6:19" ht="12.75">
      <c r="F27" s="2" t="s">
        <v>319</v>
      </c>
      <c r="G27" s="2" t="s">
        <v>321</v>
      </c>
      <c r="H27" s="3">
        <v>40000</v>
      </c>
      <c r="I27" s="4">
        <v>13.72</v>
      </c>
      <c r="J27" s="4">
        <f t="shared" si="3"/>
        <v>16.630303030303033</v>
      </c>
      <c r="L27" s="5">
        <f t="shared" si="4"/>
        <v>5488</v>
      </c>
      <c r="M27" s="5">
        <f t="shared" si="5"/>
        <v>6652.121212121213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6:19" ht="12.75">
      <c r="F28" s="2" t="s">
        <v>319</v>
      </c>
      <c r="G28" s="2" t="s">
        <v>321</v>
      </c>
      <c r="H28" s="3">
        <v>22500</v>
      </c>
      <c r="I28" s="4">
        <v>21.73</v>
      </c>
      <c r="J28" s="4">
        <f t="shared" si="3"/>
        <v>26.33939393939394</v>
      </c>
      <c r="L28" s="5">
        <f t="shared" si="4"/>
        <v>4889.25</v>
      </c>
      <c r="M28" s="5">
        <f t="shared" si="5"/>
        <v>5926.363636363636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</row>
    <row r="29" spans="6:19" ht="12.75">
      <c r="F29" s="2" t="s">
        <v>317</v>
      </c>
      <c r="G29" s="2" t="s">
        <v>321</v>
      </c>
      <c r="H29" s="3">
        <v>44000</v>
      </c>
      <c r="I29" s="4">
        <v>13.72</v>
      </c>
      <c r="J29" s="4">
        <f t="shared" si="3"/>
        <v>16.630303030303033</v>
      </c>
      <c r="L29" s="5">
        <f t="shared" si="4"/>
        <v>6036.8</v>
      </c>
      <c r="M29" s="5">
        <f t="shared" si="5"/>
        <v>7317.333333333334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6:19" ht="12.75">
      <c r="F30" s="2" t="s">
        <v>317</v>
      </c>
      <c r="G30" s="2" t="s">
        <v>321</v>
      </c>
      <c r="H30" s="3">
        <v>25000</v>
      </c>
      <c r="I30" s="4">
        <v>21.73</v>
      </c>
      <c r="J30" s="4">
        <f t="shared" si="3"/>
        <v>26.33939393939394</v>
      </c>
      <c r="L30" s="5">
        <f t="shared" si="4"/>
        <v>5432.5</v>
      </c>
      <c r="M30" s="5">
        <f t="shared" si="5"/>
        <v>6584.848484848485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</row>
    <row r="31" spans="6:19" ht="12.75">
      <c r="F31" s="2" t="s">
        <v>317</v>
      </c>
      <c r="G31" s="2" t="s">
        <v>322</v>
      </c>
      <c r="H31" s="3">
        <v>46000</v>
      </c>
      <c r="I31" s="4">
        <v>13.72</v>
      </c>
      <c r="J31" s="4">
        <f t="shared" si="3"/>
        <v>16.630303030303033</v>
      </c>
      <c r="L31" s="5">
        <f t="shared" si="4"/>
        <v>6311.200000000001</v>
      </c>
      <c r="M31" s="5">
        <f t="shared" si="5"/>
        <v>7649.939393939395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6:19" ht="12.75">
      <c r="F32" s="2" t="s">
        <v>317</v>
      </c>
      <c r="G32" s="2" t="s">
        <v>322</v>
      </c>
      <c r="H32" s="3">
        <v>28100</v>
      </c>
      <c r="I32" s="4">
        <v>21.73</v>
      </c>
      <c r="J32" s="4">
        <f t="shared" si="3"/>
        <v>26.33939393939394</v>
      </c>
      <c r="L32" s="5">
        <f t="shared" si="4"/>
        <v>6106.13</v>
      </c>
      <c r="M32" s="5">
        <f t="shared" si="5"/>
        <v>7401.369696969697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</row>
    <row r="33" spans="6:19" ht="12.75">
      <c r="F33" s="2"/>
      <c r="G33" s="2"/>
      <c r="H33" s="3"/>
      <c r="I33" s="4"/>
      <c r="J33" s="4"/>
      <c r="L33" s="5"/>
      <c r="M33" s="5"/>
      <c r="N33" s="9"/>
      <c r="O33" s="9"/>
      <c r="P33" s="9"/>
      <c r="Q33" s="9"/>
      <c r="R33" s="9"/>
      <c r="S33" s="9"/>
    </row>
    <row r="34" spans="2:19" ht="12.75">
      <c r="B34" t="s">
        <v>326</v>
      </c>
      <c r="C34" t="s">
        <v>329</v>
      </c>
      <c r="D34" t="s">
        <v>307</v>
      </c>
      <c r="E34" t="s">
        <v>308</v>
      </c>
      <c r="F34" s="2" t="s">
        <v>317</v>
      </c>
      <c r="G34" s="2" t="s">
        <v>321</v>
      </c>
      <c r="H34" s="3">
        <v>38000</v>
      </c>
      <c r="I34" s="4">
        <v>11.16</v>
      </c>
      <c r="J34" s="4">
        <f>+I34/$C$4</f>
        <v>13.527272727272727</v>
      </c>
      <c r="L34" s="5">
        <f>+I34*(H34/100)</f>
        <v>4240.8</v>
      </c>
      <c r="M34" s="5">
        <f>+J34*(H34/100)</f>
        <v>5140.363636363636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</row>
    <row r="35" spans="3:19" ht="12.75">
      <c r="C35" t="s">
        <v>330</v>
      </c>
      <c r="D35" t="s">
        <v>307</v>
      </c>
      <c r="E35" t="s">
        <v>308</v>
      </c>
      <c r="F35" s="2" t="s">
        <v>317</v>
      </c>
      <c r="G35" s="2" t="s">
        <v>321</v>
      </c>
      <c r="H35" s="3">
        <v>38000</v>
      </c>
      <c r="I35" s="4">
        <v>11.16</v>
      </c>
      <c r="J35" s="4">
        <f>+I35/$C$4</f>
        <v>13.527272727272727</v>
      </c>
      <c r="L35" s="5">
        <f>+I35*(H35/100)</f>
        <v>4240.8</v>
      </c>
      <c r="M35" s="5">
        <f>+J35*(H35/100)</f>
        <v>5140.363636363636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</row>
    <row r="36" spans="6:19" ht="12.75">
      <c r="F36" s="2"/>
      <c r="G36" s="2"/>
      <c r="H36" s="3"/>
      <c r="I36" s="4"/>
      <c r="J36" s="4"/>
      <c r="L36" s="5"/>
      <c r="M36" s="5"/>
      <c r="N36" s="9"/>
      <c r="O36" s="9"/>
      <c r="P36" s="9"/>
      <c r="Q36" s="9"/>
      <c r="R36" s="9"/>
      <c r="S36" s="9"/>
    </row>
    <row r="37" spans="2:19" ht="12.75">
      <c r="B37" t="s">
        <v>353</v>
      </c>
      <c r="C37" t="s">
        <v>307</v>
      </c>
      <c r="D37" s="8" t="s">
        <v>328</v>
      </c>
      <c r="E37" t="s">
        <v>308</v>
      </c>
      <c r="F37" s="2" t="s">
        <v>317</v>
      </c>
      <c r="G37" s="2">
        <v>20</v>
      </c>
      <c r="H37" s="3">
        <v>0</v>
      </c>
      <c r="I37" s="4">
        <v>2989</v>
      </c>
      <c r="J37" s="4">
        <f>+I37/$C$4</f>
        <v>3623.030303030303</v>
      </c>
      <c r="L37" s="5">
        <f>+I37</f>
        <v>2989</v>
      </c>
      <c r="M37" s="5">
        <f>+J37</f>
        <v>3623.030303030303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</row>
    <row r="38" spans="6:19" ht="12.75">
      <c r="F38" s="2"/>
      <c r="G38" s="2"/>
      <c r="H38" s="3"/>
      <c r="I38" s="4"/>
      <c r="J38" s="4"/>
      <c r="L38" s="5"/>
      <c r="M38" s="5"/>
      <c r="N38" s="9"/>
      <c r="O38" s="9"/>
      <c r="P38" s="9"/>
      <c r="Q38" s="9"/>
      <c r="R38" s="9"/>
      <c r="S38" s="9"/>
    </row>
    <row r="39" spans="2:19" ht="12.75">
      <c r="B39" t="s">
        <v>331</v>
      </c>
      <c r="C39" t="s">
        <v>307</v>
      </c>
      <c r="D39" s="8" t="s">
        <v>328</v>
      </c>
      <c r="E39" t="s">
        <v>308</v>
      </c>
      <c r="F39" s="2" t="s">
        <v>332</v>
      </c>
      <c r="G39" s="2">
        <v>40</v>
      </c>
      <c r="H39" s="3">
        <v>39250</v>
      </c>
      <c r="I39" s="4">
        <v>21.01</v>
      </c>
      <c r="J39" s="4">
        <f>+I39/$C$4</f>
        <v>25.46666666666667</v>
      </c>
      <c r="L39" s="5">
        <f>+I39*(H39/100)</f>
        <v>8246.425000000001</v>
      </c>
      <c r="M39" s="5">
        <f>+J39*(H39/100)</f>
        <v>9995.666666666668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</row>
    <row r="40" spans="6:19" ht="12.75">
      <c r="F40" s="2" t="s">
        <v>332</v>
      </c>
      <c r="G40" s="2" t="s">
        <v>321</v>
      </c>
      <c r="H40" s="3">
        <v>42000</v>
      </c>
      <c r="I40" s="4">
        <v>21.01</v>
      </c>
      <c r="J40" s="4">
        <f>+I40/$C$4</f>
        <v>25.46666666666667</v>
      </c>
      <c r="L40" s="5">
        <f>+I40*(H40/100)</f>
        <v>8824.2</v>
      </c>
      <c r="M40" s="5">
        <f>+J40*(H40/100)</f>
        <v>10696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</row>
    <row r="41" spans="6:19" ht="12.75">
      <c r="F41" s="2"/>
      <c r="G41" s="2"/>
      <c r="H41" s="3"/>
      <c r="I41" s="4"/>
      <c r="J41" s="4"/>
      <c r="L41" s="5"/>
      <c r="M41" s="5"/>
      <c r="N41" s="9"/>
      <c r="O41" s="9"/>
      <c r="P41" s="9"/>
      <c r="Q41" s="9"/>
      <c r="R41" s="9"/>
      <c r="S41" s="9"/>
    </row>
    <row r="42" spans="9:19" ht="12.75">
      <c r="I42" s="73" t="s">
        <v>315</v>
      </c>
      <c r="J42" s="73"/>
      <c r="L42" s="73" t="s">
        <v>313</v>
      </c>
      <c r="M42" s="73"/>
      <c r="N42" s="73" t="s">
        <v>338</v>
      </c>
      <c r="O42" s="73"/>
      <c r="P42" s="78" t="s">
        <v>351</v>
      </c>
      <c r="Q42" s="78"/>
      <c r="R42" s="78" t="s">
        <v>352</v>
      </c>
      <c r="S42" s="78"/>
    </row>
    <row r="44" spans="2:19" ht="12.75">
      <c r="B44" s="1" t="s">
        <v>303</v>
      </c>
      <c r="C44" s="1" t="s">
        <v>305</v>
      </c>
      <c r="D44" s="1" t="s">
        <v>327</v>
      </c>
      <c r="E44" s="1" t="s">
        <v>306</v>
      </c>
      <c r="F44" s="1" t="s">
        <v>309</v>
      </c>
      <c r="G44" s="1" t="s">
        <v>316</v>
      </c>
      <c r="H44" s="1" t="s">
        <v>310</v>
      </c>
      <c r="I44" s="1" t="s">
        <v>311</v>
      </c>
      <c r="J44" s="1" t="s">
        <v>312</v>
      </c>
      <c r="K44" s="1"/>
      <c r="L44" s="1" t="s">
        <v>311</v>
      </c>
      <c r="M44" s="1" t="s">
        <v>312</v>
      </c>
      <c r="N44" s="1" t="s">
        <v>339</v>
      </c>
      <c r="O44" s="1" t="s">
        <v>340</v>
      </c>
      <c r="P44" s="1" t="s">
        <v>311</v>
      </c>
      <c r="Q44" s="1" t="s">
        <v>312</v>
      </c>
      <c r="R44" s="1" t="s">
        <v>311</v>
      </c>
      <c r="S44" s="1" t="s">
        <v>312</v>
      </c>
    </row>
    <row r="45" spans="6:19" ht="12.75">
      <c r="F45" s="2"/>
      <c r="G45" s="2"/>
      <c r="H45" s="3"/>
      <c r="I45" s="4"/>
      <c r="J45" s="4"/>
      <c r="L45" s="5"/>
      <c r="M45" s="5"/>
      <c r="N45" s="9"/>
      <c r="O45" s="9"/>
      <c r="P45" s="9"/>
      <c r="Q45" s="9"/>
      <c r="R45" s="9"/>
      <c r="S45" s="9"/>
    </row>
    <row r="46" spans="2:19" ht="12.75">
      <c r="B46" t="s">
        <v>333</v>
      </c>
      <c r="C46" t="s">
        <v>307</v>
      </c>
      <c r="D46" s="8" t="s">
        <v>328</v>
      </c>
      <c r="E46" t="s">
        <v>308</v>
      </c>
      <c r="F46" s="2" t="s">
        <v>317</v>
      </c>
      <c r="G46" s="2">
        <v>20</v>
      </c>
      <c r="H46" s="3">
        <v>36000</v>
      </c>
      <c r="I46" s="4">
        <v>11.38</v>
      </c>
      <c r="J46" s="4">
        <f aca="true" t="shared" si="6" ref="J46:J51">+I46/$C$4</f>
        <v>13.793939393939395</v>
      </c>
      <c r="L46" s="5">
        <f aca="true" t="shared" si="7" ref="L46:L51">+I46*(H46/100)</f>
        <v>4096.8</v>
      </c>
      <c r="M46" s="5">
        <f aca="true" t="shared" si="8" ref="M46:M51">+J46*(H46/100)</f>
        <v>4965.818181818182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</row>
    <row r="47" spans="6:19" ht="12.75">
      <c r="F47" s="2" t="s">
        <v>319</v>
      </c>
      <c r="G47" s="2">
        <v>40</v>
      </c>
      <c r="H47" s="3">
        <v>40000</v>
      </c>
      <c r="I47" s="4">
        <v>11.38</v>
      </c>
      <c r="J47" s="4">
        <f t="shared" si="6"/>
        <v>13.793939393939395</v>
      </c>
      <c r="L47" s="5">
        <f t="shared" si="7"/>
        <v>4552</v>
      </c>
      <c r="M47" s="5">
        <f t="shared" si="8"/>
        <v>5517.575757575758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</row>
    <row r="48" spans="6:19" ht="12.75">
      <c r="F48" s="2" t="s">
        <v>317</v>
      </c>
      <c r="G48" s="2">
        <v>40</v>
      </c>
      <c r="H48" s="3">
        <v>39600</v>
      </c>
      <c r="I48" s="4">
        <v>11.38</v>
      </c>
      <c r="J48" s="4">
        <f t="shared" si="6"/>
        <v>13.793939393939395</v>
      </c>
      <c r="L48" s="5">
        <f t="shared" si="7"/>
        <v>4506.4800000000005</v>
      </c>
      <c r="M48" s="5">
        <f t="shared" si="8"/>
        <v>5462.400000000001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</row>
    <row r="49" spans="6:19" ht="12.75">
      <c r="F49" s="2" t="s">
        <v>319</v>
      </c>
      <c r="G49" s="2" t="s">
        <v>321</v>
      </c>
      <c r="H49" s="3">
        <v>40000</v>
      </c>
      <c r="I49" s="4">
        <v>11.38</v>
      </c>
      <c r="J49" s="4">
        <f t="shared" si="6"/>
        <v>13.793939393939395</v>
      </c>
      <c r="L49" s="5">
        <f t="shared" si="7"/>
        <v>4552</v>
      </c>
      <c r="M49" s="5">
        <f t="shared" si="8"/>
        <v>5517.575757575758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</row>
    <row r="50" spans="6:19" ht="12.75">
      <c r="F50" s="2" t="s">
        <v>317</v>
      </c>
      <c r="G50" s="2" t="s">
        <v>321</v>
      </c>
      <c r="H50" s="3">
        <v>44000</v>
      </c>
      <c r="I50" s="4">
        <v>11.38</v>
      </c>
      <c r="J50" s="4">
        <f t="shared" si="6"/>
        <v>13.793939393939395</v>
      </c>
      <c r="L50" s="5">
        <f t="shared" si="7"/>
        <v>5007.200000000001</v>
      </c>
      <c r="M50" s="5">
        <f t="shared" si="8"/>
        <v>6069.333333333334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</row>
    <row r="51" spans="6:19" ht="12.75">
      <c r="F51" s="2" t="s">
        <v>317</v>
      </c>
      <c r="G51" s="2" t="s">
        <v>322</v>
      </c>
      <c r="H51" s="3">
        <v>46000</v>
      </c>
      <c r="I51" s="4">
        <v>11.38</v>
      </c>
      <c r="J51" s="4">
        <f t="shared" si="6"/>
        <v>13.793939393939395</v>
      </c>
      <c r="L51" s="5">
        <f t="shared" si="7"/>
        <v>5234.8</v>
      </c>
      <c r="M51" s="5">
        <f t="shared" si="8"/>
        <v>6345.212121212122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</row>
    <row r="52" spans="6:19" ht="12.75">
      <c r="F52" s="2"/>
      <c r="G52" s="2"/>
      <c r="H52" s="3"/>
      <c r="I52" s="4"/>
      <c r="J52" s="4"/>
      <c r="L52" s="5"/>
      <c r="M52" s="5"/>
      <c r="N52" s="9"/>
      <c r="O52" s="9"/>
      <c r="P52" s="9"/>
      <c r="Q52" s="9"/>
      <c r="R52" s="9"/>
      <c r="S52" s="9"/>
    </row>
    <row r="53" spans="2:19" ht="12.75">
      <c r="B53" t="s">
        <v>334</v>
      </c>
      <c r="C53" t="s">
        <v>307</v>
      </c>
      <c r="D53" s="8" t="s">
        <v>328</v>
      </c>
      <c r="E53" t="s">
        <v>308</v>
      </c>
      <c r="F53" s="2" t="s">
        <v>317</v>
      </c>
      <c r="G53" s="2">
        <v>20</v>
      </c>
      <c r="H53" s="3">
        <v>36000</v>
      </c>
      <c r="I53" s="4">
        <v>11.02</v>
      </c>
      <c r="J53" s="4">
        <f aca="true" t="shared" si="9" ref="J53:J58">+I53/$C$4</f>
        <v>13.357575757575757</v>
      </c>
      <c r="L53" s="5">
        <f aca="true" t="shared" si="10" ref="L53:L58">+I53*(H53/100)</f>
        <v>3967.2</v>
      </c>
      <c r="M53" s="5">
        <f aca="true" t="shared" si="11" ref="M53:M58">+J53*(H53/100)</f>
        <v>4808.727272727273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</row>
    <row r="54" spans="6:19" ht="12.75">
      <c r="F54" s="2" t="s">
        <v>319</v>
      </c>
      <c r="G54" s="2">
        <v>40</v>
      </c>
      <c r="H54" s="3">
        <v>40000</v>
      </c>
      <c r="I54" s="4">
        <v>11.02</v>
      </c>
      <c r="J54" s="4">
        <f t="shared" si="9"/>
        <v>13.357575757575757</v>
      </c>
      <c r="L54" s="5">
        <f t="shared" si="10"/>
        <v>4408</v>
      </c>
      <c r="M54" s="5">
        <f t="shared" si="11"/>
        <v>5343.030303030303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</row>
    <row r="55" spans="6:19" ht="12.75">
      <c r="F55" s="2" t="s">
        <v>317</v>
      </c>
      <c r="G55" s="2">
        <v>40</v>
      </c>
      <c r="H55" s="3">
        <v>39600</v>
      </c>
      <c r="I55" s="4">
        <v>11.02</v>
      </c>
      <c r="J55" s="4">
        <f t="shared" si="9"/>
        <v>13.357575757575757</v>
      </c>
      <c r="L55" s="5">
        <f t="shared" si="10"/>
        <v>4363.92</v>
      </c>
      <c r="M55" s="5">
        <f t="shared" si="11"/>
        <v>5289.6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</row>
    <row r="56" spans="6:19" ht="12.75">
      <c r="F56" s="2" t="s">
        <v>319</v>
      </c>
      <c r="G56" s="2" t="s">
        <v>321</v>
      </c>
      <c r="H56" s="3">
        <v>40000</v>
      </c>
      <c r="I56" s="4">
        <v>11.02</v>
      </c>
      <c r="J56" s="4">
        <f t="shared" si="9"/>
        <v>13.357575757575757</v>
      </c>
      <c r="L56" s="5">
        <f t="shared" si="10"/>
        <v>4408</v>
      </c>
      <c r="M56" s="5">
        <f t="shared" si="11"/>
        <v>5343.030303030303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</row>
    <row r="57" spans="6:19" ht="12.75">
      <c r="F57" s="2" t="s">
        <v>317</v>
      </c>
      <c r="G57" s="2" t="s">
        <v>321</v>
      </c>
      <c r="H57" s="3">
        <v>44000</v>
      </c>
      <c r="I57" s="4">
        <v>11.02</v>
      </c>
      <c r="J57" s="4">
        <f t="shared" si="9"/>
        <v>13.357575757575757</v>
      </c>
      <c r="L57" s="5">
        <f t="shared" si="10"/>
        <v>4848.8</v>
      </c>
      <c r="M57" s="5">
        <f t="shared" si="11"/>
        <v>5877.333333333333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</row>
    <row r="58" spans="6:19" ht="12.75">
      <c r="F58" s="2" t="s">
        <v>317</v>
      </c>
      <c r="G58" s="2" t="s">
        <v>322</v>
      </c>
      <c r="H58" s="3">
        <v>46000</v>
      </c>
      <c r="I58" s="4">
        <v>11.02</v>
      </c>
      <c r="J58" s="4">
        <f t="shared" si="9"/>
        <v>13.357575757575757</v>
      </c>
      <c r="L58" s="5">
        <f t="shared" si="10"/>
        <v>5069.2</v>
      </c>
      <c r="M58" s="5">
        <f t="shared" si="11"/>
        <v>6144.484848484848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</row>
    <row r="59" spans="6:19" ht="12.75">
      <c r="F59" s="2"/>
      <c r="G59" s="2"/>
      <c r="H59" s="3"/>
      <c r="I59" s="4"/>
      <c r="J59" s="4"/>
      <c r="L59" s="5"/>
      <c r="M59" s="5"/>
      <c r="N59" s="9"/>
      <c r="O59" s="9"/>
      <c r="P59" s="9"/>
      <c r="Q59" s="9"/>
      <c r="R59" s="9"/>
      <c r="S59" s="9"/>
    </row>
    <row r="60" spans="2:19" ht="12.75">
      <c r="B60" t="s">
        <v>335</v>
      </c>
      <c r="C60" t="s">
        <v>307</v>
      </c>
      <c r="D60" s="8" t="s">
        <v>328</v>
      </c>
      <c r="E60" t="s">
        <v>308</v>
      </c>
      <c r="F60" s="2" t="s">
        <v>317</v>
      </c>
      <c r="G60" s="2">
        <v>20</v>
      </c>
      <c r="H60" s="3">
        <v>36000</v>
      </c>
      <c r="I60" s="4">
        <v>11.12</v>
      </c>
      <c r="J60" s="4">
        <f aca="true" t="shared" si="12" ref="J60:J66">+I60/$C$4</f>
        <v>13.478787878787879</v>
      </c>
      <c r="L60" s="5">
        <f aca="true" t="shared" si="13" ref="L60:L66">+I60*(H60/100)</f>
        <v>4003.2</v>
      </c>
      <c r="M60" s="5">
        <f aca="true" t="shared" si="14" ref="M60:M66">+J60*(H60/100)</f>
        <v>4852.363636363636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</row>
    <row r="61" spans="6:19" ht="12.75">
      <c r="F61" s="2" t="s">
        <v>325</v>
      </c>
      <c r="G61" s="2" t="s">
        <v>320</v>
      </c>
      <c r="H61" s="3">
        <v>41000</v>
      </c>
      <c r="I61" s="4">
        <v>11.12</v>
      </c>
      <c r="J61" s="4">
        <f t="shared" si="12"/>
        <v>13.478787878787879</v>
      </c>
      <c r="L61" s="5">
        <f t="shared" si="13"/>
        <v>4559.2</v>
      </c>
      <c r="M61" s="5">
        <f t="shared" si="14"/>
        <v>5526.30303030303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</row>
    <row r="62" spans="6:19" ht="12.75">
      <c r="F62" s="2" t="s">
        <v>319</v>
      </c>
      <c r="G62" s="2">
        <v>40</v>
      </c>
      <c r="H62" s="3">
        <v>40000</v>
      </c>
      <c r="I62" s="4">
        <v>11.12</v>
      </c>
      <c r="J62" s="4">
        <f t="shared" si="12"/>
        <v>13.478787878787879</v>
      </c>
      <c r="L62" s="5">
        <f t="shared" si="13"/>
        <v>4448</v>
      </c>
      <c r="M62" s="5">
        <f t="shared" si="14"/>
        <v>5391.515151515151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</row>
    <row r="63" spans="6:19" ht="12.75">
      <c r="F63" s="2" t="s">
        <v>317</v>
      </c>
      <c r="G63" s="2">
        <v>40</v>
      </c>
      <c r="H63" s="3">
        <v>39600</v>
      </c>
      <c r="I63" s="4">
        <v>11.12</v>
      </c>
      <c r="J63" s="4">
        <f t="shared" si="12"/>
        <v>13.478787878787879</v>
      </c>
      <c r="L63" s="5">
        <f t="shared" si="13"/>
        <v>4403.5199999999995</v>
      </c>
      <c r="M63" s="5">
        <f t="shared" si="14"/>
        <v>5337.599999999999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</row>
    <row r="64" spans="6:19" ht="12.75">
      <c r="F64" s="2" t="s">
        <v>319</v>
      </c>
      <c r="G64" s="2" t="s">
        <v>321</v>
      </c>
      <c r="H64" s="3">
        <v>40000</v>
      </c>
      <c r="I64" s="4">
        <v>11.12</v>
      </c>
      <c r="J64" s="4">
        <f t="shared" si="12"/>
        <v>13.478787878787879</v>
      </c>
      <c r="L64" s="5">
        <f t="shared" si="13"/>
        <v>4448</v>
      </c>
      <c r="M64" s="5">
        <f t="shared" si="14"/>
        <v>5391.515151515151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</row>
    <row r="65" spans="6:19" ht="12.75">
      <c r="F65" s="2" t="s">
        <v>317</v>
      </c>
      <c r="G65" s="2" t="s">
        <v>321</v>
      </c>
      <c r="H65" s="3">
        <v>44000</v>
      </c>
      <c r="I65" s="4">
        <v>11.12</v>
      </c>
      <c r="J65" s="4">
        <f t="shared" si="12"/>
        <v>13.478787878787879</v>
      </c>
      <c r="L65" s="5">
        <f t="shared" si="13"/>
        <v>4892.799999999999</v>
      </c>
      <c r="M65" s="5">
        <f t="shared" si="14"/>
        <v>5930.666666666667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</row>
    <row r="66" spans="6:19" ht="12.75">
      <c r="F66" s="2" t="s">
        <v>317</v>
      </c>
      <c r="G66" s="2" t="s">
        <v>322</v>
      </c>
      <c r="H66" s="3">
        <v>46000</v>
      </c>
      <c r="I66" s="4">
        <v>11.12</v>
      </c>
      <c r="J66" s="4">
        <f t="shared" si="12"/>
        <v>13.478787878787879</v>
      </c>
      <c r="L66" s="5">
        <f t="shared" si="13"/>
        <v>5115.2</v>
      </c>
      <c r="M66" s="5">
        <f t="shared" si="14"/>
        <v>6200.242424242424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</row>
    <row r="67" spans="6:19" ht="12.75">
      <c r="F67" s="2"/>
      <c r="G67" s="2"/>
      <c r="H67" s="3"/>
      <c r="I67" s="4"/>
      <c r="J67" s="4"/>
      <c r="L67" s="5"/>
      <c r="M67" s="5"/>
      <c r="N67" s="9"/>
      <c r="O67" s="9"/>
      <c r="P67" s="9"/>
      <c r="Q67" s="9"/>
      <c r="R67" s="9"/>
      <c r="S67" s="9"/>
    </row>
    <row r="68" spans="2:19" ht="12.75">
      <c r="B68" t="s">
        <v>336</v>
      </c>
      <c r="C68" t="s">
        <v>307</v>
      </c>
      <c r="D68" s="8" t="s">
        <v>328</v>
      </c>
      <c r="E68" t="s">
        <v>308</v>
      </c>
      <c r="F68" s="2" t="s">
        <v>332</v>
      </c>
      <c r="G68" s="2">
        <v>40</v>
      </c>
      <c r="H68" s="3">
        <v>42250</v>
      </c>
      <c r="I68" s="4">
        <v>18.65</v>
      </c>
      <c r="J68" s="4">
        <f>+I68/$C$4</f>
        <v>22.606060606060606</v>
      </c>
      <c r="L68" s="5">
        <f>+I68*(H68/100)</f>
        <v>7879.624999999999</v>
      </c>
      <c r="M68" s="5">
        <f>+J68*(H68/100)</f>
        <v>9551.060606060606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</row>
    <row r="69" spans="6:19" ht="12.75">
      <c r="F69" s="2" t="s">
        <v>332</v>
      </c>
      <c r="G69" s="2">
        <v>40</v>
      </c>
      <c r="H69" s="3">
        <v>33000</v>
      </c>
      <c r="I69" s="4">
        <v>20.55</v>
      </c>
      <c r="J69" s="4">
        <f>+I69/$C$4</f>
        <v>24.90909090909091</v>
      </c>
      <c r="L69" s="5">
        <f>+I69*(H69/100)</f>
        <v>6781.5</v>
      </c>
      <c r="M69" s="5">
        <f>+J69*(H69/100)</f>
        <v>8220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</row>
    <row r="70" spans="6:19" ht="12.75">
      <c r="F70" s="2" t="s">
        <v>332</v>
      </c>
      <c r="G70" s="2" t="s">
        <v>321</v>
      </c>
      <c r="H70" s="3">
        <v>44000</v>
      </c>
      <c r="I70" s="4">
        <v>18.65</v>
      </c>
      <c r="J70" s="4">
        <f>+I70/$C$4</f>
        <v>22.606060606060606</v>
      </c>
      <c r="L70" s="5">
        <f>+I70*(H70/100)</f>
        <v>8206</v>
      </c>
      <c r="M70" s="5">
        <f>+J70*(H70/100)</f>
        <v>9946.666666666666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</row>
    <row r="71" spans="6:19" ht="12.75">
      <c r="F71" s="2" t="s">
        <v>332</v>
      </c>
      <c r="G71" s="2" t="s">
        <v>321</v>
      </c>
      <c r="H71" s="3">
        <v>36000</v>
      </c>
      <c r="I71" s="4">
        <v>20.55</v>
      </c>
      <c r="J71" s="4">
        <f>+I71/$C$4</f>
        <v>24.90909090909091</v>
      </c>
      <c r="L71" s="5">
        <f>+I71*(H71/100)</f>
        <v>7398</v>
      </c>
      <c r="M71" s="5">
        <f>+J71*(H71/100)</f>
        <v>8967.272727272728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</row>
    <row r="72" spans="6:15" ht="12.75">
      <c r="F72" s="2"/>
      <c r="G72" s="2"/>
      <c r="H72" s="3"/>
      <c r="I72" s="4"/>
      <c r="J72" s="4"/>
      <c r="L72" s="5"/>
      <c r="M72" s="5"/>
      <c r="N72" s="9"/>
      <c r="O72" s="9"/>
    </row>
    <row r="73" spans="2:19" ht="12.75">
      <c r="B73" t="s">
        <v>337</v>
      </c>
      <c r="C73" t="s">
        <v>307</v>
      </c>
      <c r="D73" s="8" t="s">
        <v>328</v>
      </c>
      <c r="E73" t="s">
        <v>308</v>
      </c>
      <c r="F73" s="2" t="s">
        <v>317</v>
      </c>
      <c r="G73" s="2">
        <v>20</v>
      </c>
      <c r="H73" s="3">
        <v>22000</v>
      </c>
      <c r="I73" s="4">
        <v>2201</v>
      </c>
      <c r="J73" s="4">
        <f>+I73/$C$4</f>
        <v>2667.878787878788</v>
      </c>
      <c r="L73" s="5">
        <f aca="true" t="shared" si="15" ref="L73:M76">+I73</f>
        <v>2201</v>
      </c>
      <c r="M73" s="5">
        <f t="shared" si="15"/>
        <v>2667.878787878788</v>
      </c>
      <c r="N73" s="9">
        <v>10</v>
      </c>
      <c r="O73" s="9">
        <f>+N73*52</f>
        <v>520</v>
      </c>
      <c r="P73" s="9">
        <v>0</v>
      </c>
      <c r="Q73" s="9">
        <v>0</v>
      </c>
      <c r="R73" s="9">
        <v>0</v>
      </c>
      <c r="S73" s="9">
        <v>0</v>
      </c>
    </row>
    <row r="74" spans="6:19" ht="12.75">
      <c r="F74" s="2" t="s">
        <v>317</v>
      </c>
      <c r="G74" s="2">
        <v>20</v>
      </c>
      <c r="H74" s="3">
        <v>22000</v>
      </c>
      <c r="I74" s="4">
        <v>2260</v>
      </c>
      <c r="J74" s="4">
        <f>+I74/$C$4</f>
        <v>2739.3939393939395</v>
      </c>
      <c r="L74" s="5">
        <f t="shared" si="15"/>
        <v>2260</v>
      </c>
      <c r="M74" s="5">
        <f t="shared" si="15"/>
        <v>2739.3939393939395</v>
      </c>
      <c r="N74" s="9">
        <v>5</v>
      </c>
      <c r="O74" s="9">
        <f>+N74*52</f>
        <v>260</v>
      </c>
      <c r="P74" s="9">
        <v>0</v>
      </c>
      <c r="Q74" s="9">
        <v>0</v>
      </c>
      <c r="R74" s="9">
        <v>0</v>
      </c>
      <c r="S74" s="9">
        <v>0</v>
      </c>
    </row>
    <row r="75" spans="6:19" ht="12.75">
      <c r="F75" s="2" t="s">
        <v>317</v>
      </c>
      <c r="G75" s="2">
        <v>20</v>
      </c>
      <c r="H75" s="3">
        <v>22000</v>
      </c>
      <c r="I75" s="4">
        <v>2283</v>
      </c>
      <c r="J75" s="4">
        <f>+I75/$C$4</f>
        <v>2767.2727272727275</v>
      </c>
      <c r="L75" s="5">
        <f t="shared" si="15"/>
        <v>2283</v>
      </c>
      <c r="M75" s="5">
        <f t="shared" si="15"/>
        <v>2767.2727272727275</v>
      </c>
      <c r="N75" s="9">
        <v>3</v>
      </c>
      <c r="O75" s="9">
        <f>+N75*52</f>
        <v>156</v>
      </c>
      <c r="P75" s="9">
        <v>0</v>
      </c>
      <c r="Q75" s="9">
        <v>0</v>
      </c>
      <c r="R75" s="9">
        <v>0</v>
      </c>
      <c r="S75" s="9">
        <v>0</v>
      </c>
    </row>
    <row r="76" spans="6:19" ht="12.75">
      <c r="F76" s="2" t="s">
        <v>317</v>
      </c>
      <c r="G76" s="2">
        <v>20</v>
      </c>
      <c r="H76" s="3">
        <v>22000</v>
      </c>
      <c r="I76" s="4">
        <v>2339</v>
      </c>
      <c r="J76" s="4">
        <f>+I76/$C$4</f>
        <v>2835.1515151515155</v>
      </c>
      <c r="L76" s="5">
        <f t="shared" si="15"/>
        <v>2339</v>
      </c>
      <c r="M76" s="5">
        <f t="shared" si="15"/>
        <v>2835.1515151515155</v>
      </c>
      <c r="N76" s="9">
        <v>1</v>
      </c>
      <c r="O76" s="9">
        <f>+N76*52</f>
        <v>52</v>
      </c>
      <c r="P76" s="9">
        <v>0</v>
      </c>
      <c r="Q76" s="9">
        <v>0</v>
      </c>
      <c r="R76" s="9">
        <v>0</v>
      </c>
      <c r="S76" s="9">
        <v>0</v>
      </c>
    </row>
    <row r="77" spans="6:15" ht="12.75">
      <c r="F77" s="2"/>
      <c r="G77" s="2"/>
      <c r="H77" s="3"/>
      <c r="I77" s="4"/>
      <c r="J77" s="4"/>
      <c r="L77" s="5"/>
      <c r="M77" s="5"/>
      <c r="N77" s="9"/>
      <c r="O77" s="9"/>
    </row>
    <row r="78" spans="2:19" ht="12.75">
      <c r="B78" t="s">
        <v>341</v>
      </c>
      <c r="C78" t="s">
        <v>307</v>
      </c>
      <c r="D78" s="8" t="s">
        <v>328</v>
      </c>
      <c r="E78" t="s">
        <v>308</v>
      </c>
      <c r="F78" s="2" t="s">
        <v>332</v>
      </c>
      <c r="G78" s="2">
        <v>40</v>
      </c>
      <c r="H78" s="3">
        <v>42250</v>
      </c>
      <c r="I78" s="4">
        <v>18.42</v>
      </c>
      <c r="J78" s="4">
        <f>+I78/$C$4</f>
        <v>22.32727272727273</v>
      </c>
      <c r="L78" s="5">
        <f>+I78*(H78/100)</f>
        <v>7782.450000000001</v>
      </c>
      <c r="M78" s="5">
        <f>+J78*(H78/100)</f>
        <v>9433.27272727273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</row>
    <row r="79" spans="6:19" ht="12.75">
      <c r="F79" s="2" t="s">
        <v>332</v>
      </c>
      <c r="G79" s="2">
        <v>40</v>
      </c>
      <c r="H79" s="3">
        <v>33000</v>
      </c>
      <c r="I79" s="4">
        <v>20.33</v>
      </c>
      <c r="J79" s="4">
        <f>+I79/$C$4</f>
        <v>24.64242424242424</v>
      </c>
      <c r="L79" s="5">
        <f>+I79*(H79/100)</f>
        <v>6708.9</v>
      </c>
      <c r="M79" s="5">
        <f>+J79*(H79/100)</f>
        <v>8131.999999999999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</row>
    <row r="80" spans="6:19" ht="12.75">
      <c r="F80" s="2" t="s">
        <v>332</v>
      </c>
      <c r="G80" s="2" t="s">
        <v>321</v>
      </c>
      <c r="H80" s="3">
        <v>44000</v>
      </c>
      <c r="I80" s="4">
        <v>18.42</v>
      </c>
      <c r="J80" s="4">
        <f>+I80/$C$4</f>
        <v>22.32727272727273</v>
      </c>
      <c r="L80" s="5">
        <f>+I80*(H80/100)</f>
        <v>8104.800000000001</v>
      </c>
      <c r="M80" s="5">
        <f>+J80*(H80/100)</f>
        <v>9824.000000000002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</row>
    <row r="81" spans="6:19" ht="12.75">
      <c r="F81" s="2" t="s">
        <v>332</v>
      </c>
      <c r="G81" s="2" t="s">
        <v>321</v>
      </c>
      <c r="H81" s="3">
        <v>36000</v>
      </c>
      <c r="I81" s="4">
        <v>20.33</v>
      </c>
      <c r="J81" s="4">
        <f>+I81/$C$4</f>
        <v>24.64242424242424</v>
      </c>
      <c r="L81" s="5">
        <f>+I81*(H81/100)</f>
        <v>7318.799999999999</v>
      </c>
      <c r="M81" s="5">
        <f>+J81*(H81/100)</f>
        <v>8871.272727272726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</row>
    <row r="82" spans="6:13" ht="12.75">
      <c r="F82" s="2"/>
      <c r="G82" s="2"/>
      <c r="H82" s="3"/>
      <c r="I82" s="4"/>
      <c r="J82" s="4"/>
      <c r="L82" s="5"/>
      <c r="M82" s="5"/>
    </row>
    <row r="83" spans="2:19" ht="12.75">
      <c r="B83" t="s">
        <v>342</v>
      </c>
      <c r="C83" t="s">
        <v>307</v>
      </c>
      <c r="D83" s="8" t="s">
        <v>328</v>
      </c>
      <c r="E83" t="s">
        <v>308</v>
      </c>
      <c r="F83" s="2" t="s">
        <v>343</v>
      </c>
      <c r="G83" s="2">
        <v>20</v>
      </c>
      <c r="H83" s="3">
        <v>45000</v>
      </c>
      <c r="I83" s="4">
        <v>17.59</v>
      </c>
      <c r="J83" s="4">
        <f>+I83/$C$4</f>
        <v>21.321212121212124</v>
      </c>
      <c r="L83" s="5">
        <f>+I83*(H83/100)</f>
        <v>7915.5</v>
      </c>
      <c r="M83" s="5">
        <f>+J83*(H83/100)</f>
        <v>9594.545454545456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</row>
    <row r="84" spans="6:13" ht="12.75">
      <c r="F84" s="2"/>
      <c r="G84" s="2"/>
      <c r="H84" s="3"/>
      <c r="I84" s="4"/>
      <c r="J84" s="4"/>
      <c r="L84" s="5"/>
      <c r="M84" s="5"/>
    </row>
    <row r="85" spans="2:19" ht="12.75">
      <c r="B85" t="s">
        <v>342</v>
      </c>
      <c r="C85" t="s">
        <v>344</v>
      </c>
      <c r="D85" t="s">
        <v>307</v>
      </c>
      <c r="E85" t="s">
        <v>308</v>
      </c>
      <c r="F85" s="2" t="s">
        <v>343</v>
      </c>
      <c r="G85" s="2">
        <v>20</v>
      </c>
      <c r="H85" s="3">
        <v>45000</v>
      </c>
      <c r="I85" s="4">
        <f>4.53+17.59</f>
        <v>22.12</v>
      </c>
      <c r="J85" s="4">
        <f>+I85/$C$4</f>
        <v>26.812121212121216</v>
      </c>
      <c r="L85" s="5">
        <f>+I85*(H85/100)</f>
        <v>9954</v>
      </c>
      <c r="M85" s="5">
        <f>+J85*(H85/100)</f>
        <v>12065.454545454548</v>
      </c>
      <c r="N85" s="9">
        <v>0</v>
      </c>
      <c r="O85" s="9">
        <v>0</v>
      </c>
      <c r="P85" s="4">
        <v>4.53</v>
      </c>
      <c r="Q85" s="12">
        <f>+P85/$C$4</f>
        <v>5.490909090909091</v>
      </c>
      <c r="R85" s="5">
        <f>+P85*(H85/100)</f>
        <v>2038.5</v>
      </c>
      <c r="S85" s="5">
        <f>+Q85*(H85/100)</f>
        <v>2470.909090909091</v>
      </c>
    </row>
    <row r="86" spans="3:19" ht="12.75">
      <c r="C86" t="s">
        <v>345</v>
      </c>
      <c r="D86" t="s">
        <v>307</v>
      </c>
      <c r="E86" t="s">
        <v>308</v>
      </c>
      <c r="F86" s="2" t="s">
        <v>343</v>
      </c>
      <c r="G86" s="2">
        <v>20</v>
      </c>
      <c r="H86" s="3">
        <v>45000</v>
      </c>
      <c r="I86" s="4">
        <f>4.53+17.59</f>
        <v>22.12</v>
      </c>
      <c r="J86" s="4">
        <f aca="true" t="shared" si="16" ref="J86:J96">+I86/$C$4</f>
        <v>26.812121212121216</v>
      </c>
      <c r="L86" s="5">
        <f aca="true" t="shared" si="17" ref="L86:L91">+I86*(H86/100)</f>
        <v>9954</v>
      </c>
      <c r="M86" s="5">
        <f aca="true" t="shared" si="18" ref="M86:M91">+J86*(H86/100)</f>
        <v>12065.454545454548</v>
      </c>
      <c r="N86" s="9">
        <v>0</v>
      </c>
      <c r="O86" s="9">
        <v>0</v>
      </c>
      <c r="P86" s="4">
        <v>4.53</v>
      </c>
      <c r="Q86" s="12">
        <f aca="true" t="shared" si="19" ref="Q86:Q91">+P86/$C$4</f>
        <v>5.490909090909091</v>
      </c>
      <c r="R86" s="5">
        <f aca="true" t="shared" si="20" ref="R86:R91">+P86*(H86/100)</f>
        <v>2038.5</v>
      </c>
      <c r="S86" s="5">
        <f aca="true" t="shared" si="21" ref="S86:S91">+Q86*(H86/100)</f>
        <v>2470.909090909091</v>
      </c>
    </row>
    <row r="87" spans="3:19" ht="12.75">
      <c r="C87" t="s">
        <v>346</v>
      </c>
      <c r="D87" t="s">
        <v>307</v>
      </c>
      <c r="E87" t="s">
        <v>308</v>
      </c>
      <c r="F87" s="2" t="s">
        <v>343</v>
      </c>
      <c r="G87" s="2">
        <v>20</v>
      </c>
      <c r="H87" s="3">
        <v>45000</v>
      </c>
      <c r="I87" s="4">
        <f>5.19+17.59</f>
        <v>22.78</v>
      </c>
      <c r="J87" s="4">
        <f t="shared" si="16"/>
        <v>27.612121212121217</v>
      </c>
      <c r="L87" s="5">
        <f t="shared" si="17"/>
        <v>10251</v>
      </c>
      <c r="M87" s="5">
        <f t="shared" si="18"/>
        <v>12425.454545454548</v>
      </c>
      <c r="N87" s="9">
        <v>0</v>
      </c>
      <c r="O87" s="9">
        <v>0</v>
      </c>
      <c r="P87" s="4">
        <v>5.19</v>
      </c>
      <c r="Q87" s="12">
        <f t="shared" si="19"/>
        <v>6.290909090909092</v>
      </c>
      <c r="R87" s="5">
        <f t="shared" si="20"/>
        <v>2335.5</v>
      </c>
      <c r="S87" s="5">
        <f t="shared" si="21"/>
        <v>2830.9090909090914</v>
      </c>
    </row>
    <row r="88" spans="3:19" ht="12.75">
      <c r="C88" t="s">
        <v>347</v>
      </c>
      <c r="D88" t="s">
        <v>307</v>
      </c>
      <c r="E88" t="s">
        <v>308</v>
      </c>
      <c r="F88" s="2" t="s">
        <v>343</v>
      </c>
      <c r="G88" s="2">
        <v>20</v>
      </c>
      <c r="H88" s="3">
        <v>45000</v>
      </c>
      <c r="I88" s="4">
        <f>6.18+17.59</f>
        <v>23.77</v>
      </c>
      <c r="J88" s="4">
        <f t="shared" si="16"/>
        <v>28.812121212121212</v>
      </c>
      <c r="L88" s="5">
        <f t="shared" si="17"/>
        <v>10696.5</v>
      </c>
      <c r="M88" s="5">
        <f t="shared" si="18"/>
        <v>12965.454545454546</v>
      </c>
      <c r="N88" s="9">
        <v>0</v>
      </c>
      <c r="O88" s="9">
        <v>0</v>
      </c>
      <c r="P88" s="4">
        <v>6.18</v>
      </c>
      <c r="Q88" s="12">
        <f t="shared" si="19"/>
        <v>7.490909090909091</v>
      </c>
      <c r="R88" s="5">
        <f t="shared" si="20"/>
        <v>2781</v>
      </c>
      <c r="S88" s="5">
        <f t="shared" si="21"/>
        <v>3370.909090909091</v>
      </c>
    </row>
    <row r="89" spans="3:19" ht="12.75">
      <c r="C89" t="s">
        <v>348</v>
      </c>
      <c r="D89" t="s">
        <v>307</v>
      </c>
      <c r="E89" t="s">
        <v>308</v>
      </c>
      <c r="F89" s="2" t="s">
        <v>343</v>
      </c>
      <c r="G89" s="2">
        <v>20</v>
      </c>
      <c r="H89" s="3">
        <v>45000</v>
      </c>
      <c r="I89" s="4">
        <f>4.53+17.59</f>
        <v>22.12</v>
      </c>
      <c r="J89" s="4">
        <f t="shared" si="16"/>
        <v>26.812121212121216</v>
      </c>
      <c r="L89" s="5">
        <f t="shared" si="17"/>
        <v>9954</v>
      </c>
      <c r="M89" s="5">
        <f t="shared" si="18"/>
        <v>12065.454545454548</v>
      </c>
      <c r="N89" s="9">
        <v>0</v>
      </c>
      <c r="O89" s="9">
        <v>0</v>
      </c>
      <c r="P89" s="4">
        <v>4.53</v>
      </c>
      <c r="Q89" s="12">
        <f t="shared" si="19"/>
        <v>5.490909090909091</v>
      </c>
      <c r="R89" s="5">
        <f t="shared" si="20"/>
        <v>2038.5</v>
      </c>
      <c r="S89" s="5">
        <f t="shared" si="21"/>
        <v>2470.909090909091</v>
      </c>
    </row>
    <row r="90" spans="3:19" ht="12.75">
      <c r="C90" t="s">
        <v>349</v>
      </c>
      <c r="D90" t="s">
        <v>307</v>
      </c>
      <c r="E90" t="s">
        <v>308</v>
      </c>
      <c r="F90" s="2" t="s">
        <v>343</v>
      </c>
      <c r="G90" s="2">
        <v>20</v>
      </c>
      <c r="H90" s="3">
        <v>45000</v>
      </c>
      <c r="I90" s="4">
        <f>5.55+17.59</f>
        <v>23.14</v>
      </c>
      <c r="J90" s="4">
        <f t="shared" si="16"/>
        <v>28.04848484848485</v>
      </c>
      <c r="L90" s="5">
        <f t="shared" si="17"/>
        <v>10413</v>
      </c>
      <c r="M90" s="5">
        <f t="shared" si="18"/>
        <v>12621.818181818182</v>
      </c>
      <c r="N90" s="9">
        <v>0</v>
      </c>
      <c r="O90" s="9">
        <v>0</v>
      </c>
      <c r="P90" s="4">
        <v>5.55</v>
      </c>
      <c r="Q90" s="12">
        <f t="shared" si="19"/>
        <v>6.7272727272727275</v>
      </c>
      <c r="R90" s="5">
        <f t="shared" si="20"/>
        <v>2497.5</v>
      </c>
      <c r="S90" s="5">
        <f t="shared" si="21"/>
        <v>3027.2727272727275</v>
      </c>
    </row>
    <row r="91" spans="3:19" ht="12.75">
      <c r="C91" t="s">
        <v>350</v>
      </c>
      <c r="D91" t="s">
        <v>307</v>
      </c>
      <c r="E91" t="s">
        <v>308</v>
      </c>
      <c r="F91" s="2" t="s">
        <v>343</v>
      </c>
      <c r="G91" s="2">
        <v>20</v>
      </c>
      <c r="H91" s="3">
        <v>45000</v>
      </c>
      <c r="I91" s="4">
        <f>5.13+17.59</f>
        <v>22.72</v>
      </c>
      <c r="J91" s="4">
        <f t="shared" si="16"/>
        <v>27.53939393939394</v>
      </c>
      <c r="L91" s="5">
        <f t="shared" si="17"/>
        <v>10224</v>
      </c>
      <c r="M91" s="5">
        <f t="shared" si="18"/>
        <v>12392.727272727272</v>
      </c>
      <c r="N91" s="9">
        <v>0</v>
      </c>
      <c r="O91" s="9">
        <v>0</v>
      </c>
      <c r="P91" s="4">
        <v>5.13</v>
      </c>
      <c r="Q91" s="12">
        <f t="shared" si="19"/>
        <v>6.218181818181819</v>
      </c>
      <c r="R91" s="5">
        <f t="shared" si="20"/>
        <v>2308.5</v>
      </c>
      <c r="S91" s="5">
        <f t="shared" si="21"/>
        <v>2798.1818181818185</v>
      </c>
    </row>
    <row r="92" spans="6:13" ht="12.75">
      <c r="F92" s="2"/>
      <c r="G92" s="2"/>
      <c r="H92" s="3"/>
      <c r="I92" s="4"/>
      <c r="J92" s="4"/>
      <c r="L92" s="5"/>
      <c r="M92" s="5"/>
    </row>
    <row r="93" spans="2:14" ht="12.75">
      <c r="B93" t="s">
        <v>354</v>
      </c>
      <c r="C93" t="s">
        <v>307</v>
      </c>
      <c r="D93" s="8" t="s">
        <v>328</v>
      </c>
      <c r="E93" t="s">
        <v>308</v>
      </c>
      <c r="F93" s="2" t="s">
        <v>317</v>
      </c>
      <c r="G93" s="2"/>
      <c r="H93" s="3"/>
      <c r="I93" s="4">
        <v>146.73</v>
      </c>
      <c r="J93" s="4">
        <f t="shared" si="16"/>
        <v>177.85454545454544</v>
      </c>
      <c r="L93" s="5"/>
      <c r="M93" s="5"/>
      <c r="N93" t="s">
        <v>355</v>
      </c>
    </row>
    <row r="94" spans="6:13" ht="12.75">
      <c r="F94" s="2"/>
      <c r="G94" s="2"/>
      <c r="H94" s="3"/>
      <c r="I94" s="4"/>
      <c r="J94" s="4"/>
      <c r="L94" s="5"/>
      <c r="M94" s="5"/>
    </row>
    <row r="95" spans="5:13" ht="12.75">
      <c r="E95" t="s">
        <v>356</v>
      </c>
      <c r="F95" s="2" t="s">
        <v>317</v>
      </c>
      <c r="H95" s="2">
        <v>12</v>
      </c>
      <c r="I95" s="4">
        <f>+H95*I93</f>
        <v>1760.7599999999998</v>
      </c>
      <c r="J95" s="4">
        <f t="shared" si="16"/>
        <v>2134.254545454545</v>
      </c>
      <c r="L95" s="5">
        <f>+I95</f>
        <v>1760.7599999999998</v>
      </c>
      <c r="M95" s="5">
        <f>+J95</f>
        <v>2134.254545454545</v>
      </c>
    </row>
    <row r="96" spans="5:13" ht="12.75">
      <c r="E96" t="s">
        <v>357</v>
      </c>
      <c r="F96" s="2" t="s">
        <v>317</v>
      </c>
      <c r="H96" s="2">
        <v>30</v>
      </c>
      <c r="I96" s="4">
        <f>+H96*I93</f>
        <v>4401.9</v>
      </c>
      <c r="J96" s="4">
        <f t="shared" si="16"/>
        <v>5335.636363636363</v>
      </c>
      <c r="L96" s="5">
        <f>+I96</f>
        <v>4401.9</v>
      </c>
      <c r="M96" s="5">
        <f>+J96</f>
        <v>5335.636363636363</v>
      </c>
    </row>
    <row r="97" spans="6:13" ht="12.75">
      <c r="F97" s="2"/>
      <c r="G97" s="2"/>
      <c r="H97" s="3"/>
      <c r="I97" s="4"/>
      <c r="J97" s="4"/>
      <c r="L97" s="5"/>
      <c r="M97" s="5"/>
    </row>
    <row r="98" spans="6:13" ht="12.75">
      <c r="F98" s="2"/>
      <c r="G98" s="2"/>
      <c r="H98" s="3"/>
      <c r="I98" s="4"/>
      <c r="J98" s="4"/>
      <c r="L98" s="5"/>
      <c r="M98" s="5"/>
    </row>
    <row r="99" spans="6:13" ht="12.75">
      <c r="F99" s="2"/>
      <c r="G99" s="2"/>
      <c r="H99" s="3"/>
      <c r="I99" s="4"/>
      <c r="J99" s="4"/>
      <c r="L99" s="5"/>
      <c r="M99" s="5"/>
    </row>
    <row r="100" spans="6:13" ht="12.75">
      <c r="F100" s="2"/>
      <c r="G100" s="2"/>
      <c r="H100" s="3"/>
      <c r="I100" s="4"/>
      <c r="J100" s="4"/>
      <c r="L100" s="5"/>
      <c r="M100" s="5"/>
    </row>
    <row r="101" spans="6:13" ht="12.75">
      <c r="F101" s="2"/>
      <c r="G101" s="2"/>
      <c r="H101" s="3"/>
      <c r="I101" s="4"/>
      <c r="J101" s="4"/>
      <c r="L101" s="5"/>
      <c r="M101" s="5"/>
    </row>
    <row r="102" spans="6:13" ht="12.75">
      <c r="F102" s="2"/>
      <c r="G102" s="2"/>
      <c r="H102" s="3"/>
      <c r="I102" s="4"/>
      <c r="J102" s="4"/>
      <c r="L102" s="5"/>
      <c r="M102" s="5"/>
    </row>
    <row r="103" spans="6:13" ht="12.75">
      <c r="F103" s="2"/>
      <c r="G103" s="2"/>
      <c r="H103" s="3"/>
      <c r="I103" s="4"/>
      <c r="J103" s="4"/>
      <c r="L103" s="5"/>
      <c r="M103" s="5"/>
    </row>
    <row r="104" spans="6:13" ht="12.75">
      <c r="F104" s="2"/>
      <c r="G104" s="2"/>
      <c r="H104" s="3"/>
      <c r="I104" s="4"/>
      <c r="J104" s="4"/>
      <c r="L104" s="5"/>
      <c r="M104" s="5"/>
    </row>
    <row r="105" spans="6:13" ht="12.75">
      <c r="F105" s="2"/>
      <c r="G105" s="2"/>
      <c r="H105" s="3"/>
      <c r="I105" s="4"/>
      <c r="J105" s="4"/>
      <c r="L105" s="5"/>
      <c r="M105" s="5"/>
    </row>
    <row r="106" spans="6:13" ht="12.75">
      <c r="F106" s="2"/>
      <c r="G106" s="2"/>
      <c r="H106" s="3"/>
      <c r="I106" s="4"/>
      <c r="J106" s="4"/>
      <c r="L106" s="5"/>
      <c r="M106" s="5"/>
    </row>
    <row r="107" spans="6:13" ht="12.75">
      <c r="F107" s="2"/>
      <c r="G107" s="2"/>
      <c r="H107" s="3"/>
      <c r="I107" s="4"/>
      <c r="J107" s="4"/>
      <c r="L107" s="5"/>
      <c r="M107" s="5"/>
    </row>
    <row r="108" spans="6:13" ht="12.75">
      <c r="F108" s="2"/>
      <c r="G108" s="2"/>
      <c r="H108" s="3"/>
      <c r="I108" s="4"/>
      <c r="J108" s="4"/>
      <c r="L108" s="5"/>
      <c r="M108" s="5"/>
    </row>
    <row r="109" spans="6:13" ht="12.75">
      <c r="F109" s="2"/>
      <c r="G109" s="2"/>
      <c r="H109" s="3"/>
      <c r="I109" s="4"/>
      <c r="J109" s="4"/>
      <c r="L109" s="5"/>
      <c r="M109" s="5"/>
    </row>
    <row r="110" spans="6:13" ht="12.75">
      <c r="F110" s="2"/>
      <c r="G110" s="2"/>
      <c r="H110" s="3"/>
      <c r="I110" s="4"/>
      <c r="J110" s="4"/>
      <c r="L110" s="5"/>
      <c r="M110" s="5"/>
    </row>
    <row r="111" spans="6:13" ht="12.75">
      <c r="F111" s="2"/>
      <c r="G111" s="2"/>
      <c r="H111" s="3"/>
      <c r="I111" s="4"/>
      <c r="J111" s="4"/>
      <c r="L111" s="5"/>
      <c r="M111" s="5"/>
    </row>
    <row r="112" spans="6:13" ht="12.75">
      <c r="F112" s="2"/>
      <c r="G112" s="2"/>
      <c r="H112" s="3"/>
      <c r="I112" s="4"/>
      <c r="J112" s="4"/>
      <c r="L112" s="5"/>
      <c r="M112" s="5"/>
    </row>
    <row r="113" spans="6:13" ht="12.75">
      <c r="F113" s="2"/>
      <c r="G113" s="2"/>
      <c r="H113" s="3"/>
      <c r="I113" s="4"/>
      <c r="J113" s="4"/>
      <c r="L113" s="5"/>
      <c r="M113" s="5"/>
    </row>
    <row r="114" spans="6:13" ht="12.75">
      <c r="F114" s="2"/>
      <c r="G114" s="2"/>
      <c r="H114" s="3"/>
      <c r="I114" s="4"/>
      <c r="J114" s="4"/>
      <c r="L114" s="5"/>
      <c r="M114" s="5"/>
    </row>
    <row r="115" spans="6:13" ht="12.75">
      <c r="F115" s="2"/>
      <c r="G115" s="2"/>
      <c r="H115" s="3"/>
      <c r="I115" s="4"/>
      <c r="J115" s="4"/>
      <c r="L115" s="5"/>
      <c r="M115" s="5"/>
    </row>
    <row r="116" spans="6:13" ht="12.75">
      <c r="F116" s="2"/>
      <c r="G116" s="2"/>
      <c r="H116" s="3"/>
      <c r="I116" s="4"/>
      <c r="J116" s="4"/>
      <c r="L116" s="5"/>
      <c r="M116" s="5"/>
    </row>
    <row r="117" spans="6:13" ht="12.75">
      <c r="F117" s="2"/>
      <c r="G117" s="2"/>
      <c r="H117" s="3"/>
      <c r="I117" s="4"/>
      <c r="J117" s="4"/>
      <c r="L117" s="5"/>
      <c r="M117" s="5"/>
    </row>
    <row r="118" spans="6:13" ht="12.75">
      <c r="F118" s="2"/>
      <c r="G118" s="2"/>
      <c r="H118" s="3"/>
      <c r="I118" s="4"/>
      <c r="J118" s="4"/>
      <c r="L118" s="5"/>
      <c r="M118" s="5"/>
    </row>
    <row r="119" spans="6:13" ht="12.75">
      <c r="F119" s="2"/>
      <c r="G119" s="2"/>
      <c r="H119" s="3"/>
      <c r="I119" s="4"/>
      <c r="J119" s="4"/>
      <c r="L119" s="5"/>
      <c r="M119" s="5"/>
    </row>
    <row r="120" spans="6:13" ht="12.75">
      <c r="F120" s="2"/>
      <c r="G120" s="2"/>
      <c r="H120" s="3"/>
      <c r="I120" s="4"/>
      <c r="J120" s="4"/>
      <c r="L120" s="5"/>
      <c r="M120" s="5"/>
    </row>
    <row r="121" spans="6:13" ht="12.75">
      <c r="F121" s="2"/>
      <c r="G121" s="2"/>
      <c r="H121" s="3"/>
      <c r="I121" s="4"/>
      <c r="J121" s="4"/>
      <c r="L121" s="5"/>
      <c r="M121" s="5"/>
    </row>
    <row r="122" spans="6:13" ht="12.75">
      <c r="F122" s="2"/>
      <c r="G122" s="2"/>
      <c r="H122" s="3"/>
      <c r="I122" s="4"/>
      <c r="J122" s="4"/>
      <c r="L122" s="5"/>
      <c r="M122" s="5"/>
    </row>
    <row r="123" spans="6:13" ht="12.75">
      <c r="F123" s="2"/>
      <c r="G123" s="2"/>
      <c r="H123" s="3"/>
      <c r="I123" s="4"/>
      <c r="J123" s="4"/>
      <c r="L123" s="5"/>
      <c r="M123" s="5"/>
    </row>
    <row r="124" spans="6:13" ht="12.75">
      <c r="F124" s="2"/>
      <c r="G124" s="2"/>
      <c r="H124" s="3"/>
      <c r="I124" s="4"/>
      <c r="J124" s="4"/>
      <c r="L124" s="5"/>
      <c r="M124" s="5"/>
    </row>
    <row r="125" spans="6:13" ht="12.75">
      <c r="F125" s="2"/>
      <c r="G125" s="2"/>
      <c r="H125" s="3"/>
      <c r="I125" s="4"/>
      <c r="J125" s="4"/>
      <c r="L125" s="5"/>
      <c r="M125" s="5"/>
    </row>
    <row r="126" spans="6:13" ht="12.75">
      <c r="F126" s="2"/>
      <c r="G126" s="2"/>
      <c r="H126" s="3"/>
      <c r="I126" s="4"/>
      <c r="J126" s="4"/>
      <c r="L126" s="5"/>
      <c r="M126" s="5"/>
    </row>
    <row r="127" spans="6:13" ht="12.75">
      <c r="F127" s="2"/>
      <c r="G127" s="2"/>
      <c r="H127" s="3"/>
      <c r="I127" s="4"/>
      <c r="J127" s="4"/>
      <c r="L127" s="5"/>
      <c r="M127" s="5"/>
    </row>
    <row r="128" spans="6:13" ht="12.75">
      <c r="F128" s="2"/>
      <c r="G128" s="2"/>
      <c r="H128" s="3"/>
      <c r="I128" s="4"/>
      <c r="J128" s="4"/>
      <c r="L128" s="5"/>
      <c r="M128" s="5"/>
    </row>
    <row r="129" spans="6:13" ht="12.75">
      <c r="F129" s="2"/>
      <c r="G129" s="2"/>
      <c r="H129" s="3"/>
      <c r="I129" s="4"/>
      <c r="J129" s="4"/>
      <c r="L129" s="5"/>
      <c r="M129" s="5"/>
    </row>
    <row r="130" spans="6:13" ht="12.75">
      <c r="F130" s="2"/>
      <c r="G130" s="2"/>
      <c r="H130" s="3"/>
      <c r="I130" s="4"/>
      <c r="J130" s="4"/>
      <c r="L130" s="5"/>
      <c r="M130" s="5"/>
    </row>
    <row r="131" spans="6:13" ht="12.75">
      <c r="F131" s="2"/>
      <c r="G131" s="2"/>
      <c r="H131" s="3"/>
      <c r="I131" s="4"/>
      <c r="J131" s="4"/>
      <c r="L131" s="5"/>
      <c r="M131" s="5"/>
    </row>
    <row r="132" spans="6:13" ht="12.75">
      <c r="F132" s="2"/>
      <c r="G132" s="2"/>
      <c r="H132" s="3"/>
      <c r="I132" s="4"/>
      <c r="J132" s="4"/>
      <c r="L132" s="5"/>
      <c r="M132" s="5"/>
    </row>
    <row r="133" spans="6:13" ht="12.75">
      <c r="F133" s="2"/>
      <c r="G133" s="2"/>
      <c r="H133" s="3"/>
      <c r="I133" s="4"/>
      <c r="J133" s="4"/>
      <c r="L133" s="5"/>
      <c r="M133" s="5"/>
    </row>
    <row r="134" spans="6:13" ht="12.75">
      <c r="F134" s="2"/>
      <c r="G134" s="2"/>
      <c r="H134" s="3"/>
      <c r="I134" s="4"/>
      <c r="J134" s="4"/>
      <c r="L134" s="5"/>
      <c r="M134" s="5"/>
    </row>
    <row r="135" spans="6:13" ht="12.75">
      <c r="F135" s="2"/>
      <c r="G135" s="2"/>
      <c r="H135" s="3"/>
      <c r="I135" s="4"/>
      <c r="J135" s="4"/>
      <c r="L135" s="5"/>
      <c r="M135" s="5"/>
    </row>
    <row r="136" spans="6:13" ht="12.75">
      <c r="F136" s="2"/>
      <c r="G136" s="2"/>
      <c r="H136" s="3"/>
      <c r="I136" s="4"/>
      <c r="J136" s="4"/>
      <c r="L136" s="5"/>
      <c r="M136" s="5"/>
    </row>
    <row r="137" spans="6:13" ht="12.75">
      <c r="F137" s="2"/>
      <c r="G137" s="2"/>
      <c r="H137" s="3"/>
      <c r="I137" s="4"/>
      <c r="J137" s="4"/>
      <c r="L137" s="5"/>
      <c r="M137" s="5"/>
    </row>
    <row r="138" spans="6:13" ht="12.75">
      <c r="F138" s="2"/>
      <c r="G138" s="2"/>
      <c r="H138" s="3"/>
      <c r="I138" s="4"/>
      <c r="J138" s="4"/>
      <c r="L138" s="5"/>
      <c r="M138" s="5"/>
    </row>
    <row r="139" spans="6:13" ht="12.75">
      <c r="F139" s="2"/>
      <c r="G139" s="2"/>
      <c r="H139" s="3"/>
      <c r="I139" s="4"/>
      <c r="J139" s="4"/>
      <c r="L139" s="5"/>
      <c r="M139" s="5"/>
    </row>
    <row r="140" spans="6:13" ht="12.75">
      <c r="F140" s="2"/>
      <c r="G140" s="2"/>
      <c r="H140" s="3"/>
      <c r="I140" s="4"/>
      <c r="J140" s="4"/>
      <c r="L140" s="5"/>
      <c r="M140" s="5"/>
    </row>
    <row r="141" spans="6:13" ht="12.75">
      <c r="F141" s="2"/>
      <c r="G141" s="2"/>
      <c r="H141" s="3"/>
      <c r="I141" s="4"/>
      <c r="J141" s="4"/>
      <c r="L141" s="5"/>
      <c r="M141" s="5"/>
    </row>
    <row r="142" spans="6:13" ht="12.75">
      <c r="F142" s="2"/>
      <c r="G142" s="2"/>
      <c r="H142" s="3"/>
      <c r="I142" s="4"/>
      <c r="J142" s="4"/>
      <c r="L142" s="5"/>
      <c r="M142" s="5"/>
    </row>
    <row r="143" spans="6:13" ht="12.75">
      <c r="F143" s="2"/>
      <c r="G143" s="2"/>
      <c r="H143" s="3"/>
      <c r="I143" s="4"/>
      <c r="J143" s="4"/>
      <c r="L143" s="5"/>
      <c r="M143" s="5"/>
    </row>
    <row r="144" spans="6:13" ht="12.75">
      <c r="F144" s="2"/>
      <c r="G144" s="2"/>
      <c r="H144" s="3"/>
      <c r="I144" s="4"/>
      <c r="J144" s="4"/>
      <c r="L144" s="5"/>
      <c r="M144" s="5"/>
    </row>
    <row r="145" spans="6:13" ht="12.75">
      <c r="F145" s="2"/>
      <c r="G145" s="2"/>
      <c r="H145" s="3"/>
      <c r="I145" s="4"/>
      <c r="J145" s="4"/>
      <c r="L145" s="5"/>
      <c r="M145" s="5"/>
    </row>
    <row r="146" spans="6:13" ht="12.75">
      <c r="F146" s="2"/>
      <c r="G146" s="2"/>
      <c r="H146" s="3"/>
      <c r="I146" s="4"/>
      <c r="J146" s="4"/>
      <c r="L146" s="5"/>
      <c r="M146" s="5"/>
    </row>
    <row r="147" spans="6:13" ht="12.75">
      <c r="F147" s="2"/>
      <c r="G147" s="2"/>
      <c r="H147" s="3"/>
      <c r="I147" s="4"/>
      <c r="J147" s="4"/>
      <c r="L147" s="5"/>
      <c r="M147" s="5"/>
    </row>
    <row r="148" spans="6:13" ht="12.75">
      <c r="F148" s="2"/>
      <c r="G148" s="2"/>
      <c r="H148" s="3"/>
      <c r="I148" s="4"/>
      <c r="J148" s="4"/>
      <c r="L148" s="5"/>
      <c r="M148" s="5"/>
    </row>
    <row r="149" spans="6:13" ht="12.75">
      <c r="F149" s="2"/>
      <c r="G149" s="2"/>
      <c r="H149" s="3"/>
      <c r="I149" s="4"/>
      <c r="J149" s="4"/>
      <c r="L149" s="5"/>
      <c r="M149" s="5"/>
    </row>
    <row r="150" spans="6:13" ht="12.75">
      <c r="F150" s="2"/>
      <c r="G150" s="2"/>
      <c r="H150" s="3"/>
      <c r="I150" s="4"/>
      <c r="J150" s="4"/>
      <c r="L150" s="5"/>
      <c r="M150" s="5"/>
    </row>
    <row r="151" spans="6:13" ht="12.75">
      <c r="F151" s="2"/>
      <c r="G151" s="2"/>
      <c r="H151" s="3"/>
      <c r="I151" s="4"/>
      <c r="J151" s="4"/>
      <c r="L151" s="5"/>
      <c r="M151" s="5"/>
    </row>
    <row r="152" spans="6:13" ht="12.75">
      <c r="F152" s="2"/>
      <c r="G152" s="2"/>
      <c r="H152" s="3"/>
      <c r="I152" s="4"/>
      <c r="J152" s="4"/>
      <c r="L152" s="5"/>
      <c r="M152" s="5"/>
    </row>
    <row r="153" spans="6:13" ht="12.75">
      <c r="F153" s="2"/>
      <c r="G153" s="2"/>
      <c r="H153" s="3"/>
      <c r="I153" s="4"/>
      <c r="J153" s="4"/>
      <c r="L153" s="5"/>
      <c r="M153" s="5"/>
    </row>
    <row r="154" spans="6:13" ht="12.75">
      <c r="F154" s="2"/>
      <c r="G154" s="2"/>
      <c r="H154" s="3"/>
      <c r="I154" s="4"/>
      <c r="J154" s="4"/>
      <c r="L154" s="5"/>
      <c r="M154" s="5"/>
    </row>
    <row r="155" spans="6:13" ht="12.75">
      <c r="F155" s="2"/>
      <c r="G155" s="2"/>
      <c r="H155" s="3"/>
      <c r="I155" s="4"/>
      <c r="J155" s="4"/>
      <c r="L155" s="5"/>
      <c r="M155" s="5"/>
    </row>
    <row r="156" spans="6:13" ht="12.75">
      <c r="F156" s="2"/>
      <c r="G156" s="2"/>
      <c r="H156" s="3"/>
      <c r="I156" s="4"/>
      <c r="J156" s="4"/>
      <c r="L156" s="5"/>
      <c r="M156" s="5"/>
    </row>
    <row r="157" spans="6:13" ht="12.75">
      <c r="F157" s="2"/>
      <c r="G157" s="2"/>
      <c r="H157" s="3"/>
      <c r="I157" s="4"/>
      <c r="J157" s="4"/>
      <c r="L157" s="5"/>
      <c r="M157" s="5"/>
    </row>
    <row r="158" spans="6:13" ht="12.75">
      <c r="F158" s="2"/>
      <c r="G158" s="2"/>
      <c r="H158" s="3"/>
      <c r="I158" s="4"/>
      <c r="J158" s="4"/>
      <c r="L158" s="5"/>
      <c r="M158" s="5"/>
    </row>
    <row r="159" spans="6:13" ht="12.75">
      <c r="F159" s="2"/>
      <c r="G159" s="2"/>
      <c r="H159" s="3"/>
      <c r="I159" s="4"/>
      <c r="J159" s="4"/>
      <c r="L159" s="5"/>
      <c r="M159" s="5"/>
    </row>
    <row r="160" spans="6:13" ht="12.75">
      <c r="F160" s="2"/>
      <c r="G160" s="2"/>
      <c r="H160" s="3"/>
      <c r="I160" s="4"/>
      <c r="J160" s="4"/>
      <c r="L160" s="5"/>
      <c r="M160" s="5"/>
    </row>
    <row r="161" spans="6:13" ht="12.75">
      <c r="F161" s="2"/>
      <c r="G161" s="2"/>
      <c r="H161" s="3"/>
      <c r="I161" s="4"/>
      <c r="J161" s="4"/>
      <c r="L161" s="5"/>
      <c r="M161" s="5"/>
    </row>
    <row r="162" spans="6:13" ht="12.75">
      <c r="F162" s="2"/>
      <c r="G162" s="2"/>
      <c r="H162" s="3"/>
      <c r="I162" s="4"/>
      <c r="J162" s="4"/>
      <c r="L162" s="5"/>
      <c r="M162" s="5"/>
    </row>
    <row r="163" spans="6:13" ht="12.75">
      <c r="F163" s="2"/>
      <c r="G163" s="2"/>
      <c r="H163" s="3"/>
      <c r="I163" s="4"/>
      <c r="J163" s="4"/>
      <c r="L163" s="5"/>
      <c r="M163" s="5"/>
    </row>
    <row r="164" spans="6:13" ht="12.75">
      <c r="F164" s="2"/>
      <c r="G164" s="2"/>
      <c r="H164" s="3"/>
      <c r="I164" s="4"/>
      <c r="J164" s="4"/>
      <c r="L164" s="5"/>
      <c r="M164" s="5"/>
    </row>
    <row r="165" spans="6:13" ht="12.75">
      <c r="F165" s="2"/>
      <c r="G165" s="2"/>
      <c r="H165" s="3"/>
      <c r="I165" s="4"/>
      <c r="J165" s="4"/>
      <c r="L165" s="5"/>
      <c r="M165" s="5"/>
    </row>
    <row r="166" spans="6:13" ht="12.75">
      <c r="F166" s="2"/>
      <c r="G166" s="2"/>
      <c r="H166" s="3"/>
      <c r="I166" s="4"/>
      <c r="J166" s="4"/>
      <c r="L166" s="5"/>
      <c r="M166" s="5"/>
    </row>
    <row r="167" spans="6:13" ht="12.75">
      <c r="F167" s="2"/>
      <c r="G167" s="2"/>
      <c r="H167" s="3"/>
      <c r="I167" s="4"/>
      <c r="J167" s="4"/>
      <c r="L167" s="5"/>
      <c r="M167" s="5"/>
    </row>
    <row r="168" spans="6:13" ht="12.75">
      <c r="F168" s="2"/>
      <c r="G168" s="2"/>
      <c r="H168" s="3"/>
      <c r="I168" s="4"/>
      <c r="J168" s="4"/>
      <c r="L168" s="5"/>
      <c r="M168" s="5"/>
    </row>
    <row r="169" spans="6:13" ht="12.75">
      <c r="F169" s="2"/>
      <c r="G169" s="2"/>
      <c r="H169" s="3"/>
      <c r="I169" s="4"/>
      <c r="J169" s="4"/>
      <c r="L169" s="5"/>
      <c r="M169" s="5"/>
    </row>
    <row r="170" spans="6:13" ht="12.75">
      <c r="F170" s="2"/>
      <c r="G170" s="2"/>
      <c r="H170" s="3"/>
      <c r="I170" s="4"/>
      <c r="J170" s="4"/>
      <c r="L170" s="5"/>
      <c r="M170" s="5"/>
    </row>
    <row r="171" spans="6:13" ht="12.75">
      <c r="F171" s="2"/>
      <c r="G171" s="2"/>
      <c r="H171" s="3"/>
      <c r="I171" s="4"/>
      <c r="J171" s="4"/>
      <c r="L171" s="5"/>
      <c r="M171" s="5"/>
    </row>
    <row r="172" spans="6:13" ht="12.75">
      <c r="F172" s="2"/>
      <c r="G172" s="2"/>
      <c r="H172" s="3"/>
      <c r="I172" s="4"/>
      <c r="J172" s="4"/>
      <c r="L172" s="5"/>
      <c r="M172" s="5"/>
    </row>
    <row r="173" spans="6:13" ht="12.75">
      <c r="F173" s="2"/>
      <c r="G173" s="2"/>
      <c r="H173" s="3"/>
      <c r="I173" s="4"/>
      <c r="J173" s="4"/>
      <c r="L173" s="5"/>
      <c r="M173" s="5"/>
    </row>
    <row r="174" spans="6:13" ht="12.75">
      <c r="F174" s="2"/>
      <c r="G174" s="2"/>
      <c r="H174" s="3"/>
      <c r="I174" s="4"/>
      <c r="J174" s="4"/>
      <c r="L174" s="5"/>
      <c r="M174" s="5"/>
    </row>
    <row r="175" spans="6:13" ht="12.75">
      <c r="F175" s="2"/>
      <c r="G175" s="2"/>
      <c r="H175" s="3"/>
      <c r="I175" s="4"/>
      <c r="J175" s="4"/>
      <c r="L175" s="5"/>
      <c r="M175" s="5"/>
    </row>
    <row r="176" spans="6:13" ht="12.75">
      <c r="F176" s="2"/>
      <c r="G176" s="2"/>
      <c r="H176" s="3"/>
      <c r="I176" s="4"/>
      <c r="J176" s="4"/>
      <c r="L176" s="5"/>
      <c r="M176" s="5"/>
    </row>
    <row r="177" spans="6:13" ht="12.75">
      <c r="F177" s="2"/>
      <c r="G177" s="2"/>
      <c r="H177" s="3"/>
      <c r="I177" s="4"/>
      <c r="J177" s="4"/>
      <c r="L177" s="5"/>
      <c r="M177" s="5"/>
    </row>
    <row r="178" spans="6:13" ht="12.75">
      <c r="F178" s="2"/>
      <c r="G178" s="2"/>
      <c r="H178" s="3"/>
      <c r="I178" s="4"/>
      <c r="J178" s="4"/>
      <c r="L178" s="5"/>
      <c r="M178" s="5"/>
    </row>
    <row r="179" spans="6:13" ht="12.75">
      <c r="F179" s="2"/>
      <c r="G179" s="2"/>
      <c r="H179" s="3"/>
      <c r="I179" s="4"/>
      <c r="J179" s="4"/>
      <c r="L179" s="5"/>
      <c r="M179" s="5"/>
    </row>
    <row r="180" spans="6:13" ht="12.75">
      <c r="F180" s="2"/>
      <c r="G180" s="2"/>
      <c r="H180" s="3"/>
      <c r="I180" s="4"/>
      <c r="J180" s="4"/>
      <c r="L180" s="5"/>
      <c r="M180" s="5"/>
    </row>
    <row r="181" spans="6:13" ht="12.75">
      <c r="F181" s="2"/>
      <c r="G181" s="2"/>
      <c r="H181" s="3"/>
      <c r="I181" s="4"/>
      <c r="J181" s="4"/>
      <c r="L181" s="5"/>
      <c r="M181" s="5"/>
    </row>
    <row r="182" spans="6:13" ht="12.75">
      <c r="F182" s="2"/>
      <c r="G182" s="2"/>
      <c r="H182" s="3"/>
      <c r="I182" s="4"/>
      <c r="J182" s="4"/>
      <c r="L182" s="5"/>
      <c r="M182" s="5"/>
    </row>
    <row r="183" spans="6:13" ht="12.75">
      <c r="F183" s="2"/>
      <c r="G183" s="2"/>
      <c r="H183" s="3"/>
      <c r="I183" s="4"/>
      <c r="J183" s="4"/>
      <c r="L183" s="5"/>
      <c r="M183" s="5"/>
    </row>
    <row r="184" spans="6:13" ht="12.75">
      <c r="F184" s="2"/>
      <c r="G184" s="2"/>
      <c r="H184" s="3"/>
      <c r="I184" s="4"/>
      <c r="J184" s="4"/>
      <c r="L184" s="5"/>
      <c r="M184" s="5"/>
    </row>
    <row r="185" spans="6:13" ht="12.75">
      <c r="F185" s="2"/>
      <c r="G185" s="2"/>
      <c r="H185" s="3"/>
      <c r="I185" s="4"/>
      <c r="J185" s="4"/>
      <c r="L185" s="5"/>
      <c r="M185" s="5"/>
    </row>
    <row r="186" spans="6:13" ht="12.75">
      <c r="F186" s="2"/>
      <c r="G186" s="2"/>
      <c r="H186" s="3"/>
      <c r="I186" s="4"/>
      <c r="J186" s="4"/>
      <c r="L186" s="5"/>
      <c r="M186" s="5"/>
    </row>
    <row r="187" spans="6:13" ht="12.75">
      <c r="F187" s="2"/>
      <c r="G187" s="2"/>
      <c r="H187" s="3"/>
      <c r="I187" s="4"/>
      <c r="J187" s="4"/>
      <c r="L187" s="5"/>
      <c r="M187" s="5"/>
    </row>
    <row r="188" spans="6:13" ht="12.75">
      <c r="F188" s="2"/>
      <c r="G188" s="2"/>
      <c r="H188" s="3"/>
      <c r="I188" s="4"/>
      <c r="J188" s="4"/>
      <c r="L188" s="5"/>
      <c r="M188" s="5"/>
    </row>
    <row r="189" spans="6:13" ht="12.75">
      <c r="F189" s="2"/>
      <c r="G189" s="2"/>
      <c r="H189" s="3"/>
      <c r="I189" s="4"/>
      <c r="J189" s="4"/>
      <c r="L189" s="5"/>
      <c r="M189" s="5"/>
    </row>
    <row r="190" spans="6:13" ht="12.75">
      <c r="F190" s="2"/>
      <c r="G190" s="2"/>
      <c r="H190" s="3"/>
      <c r="I190" s="4"/>
      <c r="J190" s="4"/>
      <c r="L190" s="5"/>
      <c r="M190" s="5"/>
    </row>
    <row r="191" spans="6:13" ht="12.75">
      <c r="F191" s="2"/>
      <c r="G191" s="2"/>
      <c r="H191" s="3"/>
      <c r="I191" s="4"/>
      <c r="J191" s="4"/>
      <c r="L191" s="5"/>
      <c r="M191" s="5"/>
    </row>
    <row r="192" spans="6:13" ht="12.75">
      <c r="F192" s="2"/>
      <c r="G192" s="2"/>
      <c r="H192" s="3"/>
      <c r="I192" s="4"/>
      <c r="J192" s="4"/>
      <c r="L192" s="5"/>
      <c r="M192" s="5"/>
    </row>
    <row r="193" spans="6:13" ht="12.75">
      <c r="F193" s="2"/>
      <c r="G193" s="2"/>
      <c r="H193" s="3"/>
      <c r="I193" s="4"/>
      <c r="J193" s="4"/>
      <c r="L193" s="5"/>
      <c r="M193" s="5"/>
    </row>
    <row r="194" spans="6:13" ht="12.75">
      <c r="F194" s="2"/>
      <c r="G194" s="2"/>
      <c r="H194" s="3"/>
      <c r="I194" s="4"/>
      <c r="J194" s="4"/>
      <c r="L194" s="5"/>
      <c r="M194" s="5"/>
    </row>
    <row r="195" spans="6:13" ht="12.75">
      <c r="F195" s="2"/>
      <c r="G195" s="2"/>
      <c r="H195" s="3"/>
      <c r="I195" s="4"/>
      <c r="J195" s="4"/>
      <c r="L195" s="5"/>
      <c r="M195" s="5"/>
    </row>
    <row r="196" spans="6:13" ht="12.75">
      <c r="F196" s="2"/>
      <c r="G196" s="2"/>
      <c r="H196" s="3"/>
      <c r="I196" s="4"/>
      <c r="J196" s="4"/>
      <c r="L196" s="5"/>
      <c r="M196" s="5"/>
    </row>
    <row r="197" spans="6:13" ht="12.75">
      <c r="F197" s="2"/>
      <c r="G197" s="2"/>
      <c r="H197" s="3"/>
      <c r="I197" s="4"/>
      <c r="J197" s="4"/>
      <c r="L197" s="5"/>
      <c r="M197" s="5"/>
    </row>
    <row r="198" spans="6:13" ht="12.75">
      <c r="F198" s="2"/>
      <c r="G198" s="2"/>
      <c r="H198" s="3"/>
      <c r="I198" s="4"/>
      <c r="J198" s="4"/>
      <c r="L198" s="5"/>
      <c r="M198" s="5"/>
    </row>
    <row r="199" spans="6:13" ht="12.75">
      <c r="F199" s="2"/>
      <c r="G199" s="2"/>
      <c r="H199" s="3"/>
      <c r="I199" s="4"/>
      <c r="J199" s="4"/>
      <c r="L199" s="5"/>
      <c r="M199" s="5"/>
    </row>
    <row r="200" spans="6:13" ht="12.75">
      <c r="F200" s="2"/>
      <c r="G200" s="2"/>
      <c r="H200" s="3"/>
      <c r="I200" s="4"/>
      <c r="J200" s="4"/>
      <c r="L200" s="5"/>
      <c r="M200" s="5"/>
    </row>
    <row r="201" spans="6:13" ht="12.75">
      <c r="F201" s="2"/>
      <c r="G201" s="2"/>
      <c r="H201" s="3"/>
      <c r="I201" s="4"/>
      <c r="J201" s="4"/>
      <c r="L201" s="5"/>
      <c r="M201" s="5"/>
    </row>
    <row r="202" spans="6:13" ht="12.75">
      <c r="F202" s="2"/>
      <c r="G202" s="2"/>
      <c r="H202" s="3"/>
      <c r="I202" s="4"/>
      <c r="J202" s="4"/>
      <c r="L202" s="5"/>
      <c r="M202" s="5"/>
    </row>
    <row r="203" spans="6:13" ht="12.75">
      <c r="F203" s="2"/>
      <c r="G203" s="2"/>
      <c r="H203" s="3"/>
      <c r="I203" s="4"/>
      <c r="J203" s="4"/>
      <c r="L203" s="5"/>
      <c r="M203" s="5"/>
    </row>
    <row r="204" spans="6:13" ht="12.75">
      <c r="F204" s="2"/>
      <c r="G204" s="2"/>
      <c r="H204" s="3"/>
      <c r="I204" s="4"/>
      <c r="J204" s="4"/>
      <c r="L204" s="5"/>
      <c r="M204" s="5"/>
    </row>
    <row r="205" spans="6:13" ht="12.75">
      <c r="F205" s="2"/>
      <c r="G205" s="2"/>
      <c r="H205" s="3"/>
      <c r="I205" s="4"/>
      <c r="J205" s="4"/>
      <c r="L205" s="5"/>
      <c r="M205" s="5"/>
    </row>
    <row r="206" spans="6:13" ht="12.75">
      <c r="F206" s="2"/>
      <c r="G206" s="2"/>
      <c r="H206" s="3"/>
      <c r="I206" s="4"/>
      <c r="J206" s="4"/>
      <c r="L206" s="5"/>
      <c r="M206" s="5"/>
    </row>
    <row r="207" spans="6:13" ht="12.75">
      <c r="F207" s="2"/>
      <c r="G207" s="2"/>
      <c r="H207" s="3"/>
      <c r="I207" s="4"/>
      <c r="J207" s="4"/>
      <c r="L207" s="5"/>
      <c r="M207" s="5"/>
    </row>
    <row r="208" spans="6:13" ht="12.75">
      <c r="F208" s="2"/>
      <c r="G208" s="2"/>
      <c r="H208" s="3"/>
      <c r="I208" s="4"/>
      <c r="J208" s="4"/>
      <c r="L208" s="5"/>
      <c r="M208" s="5"/>
    </row>
    <row r="209" spans="6:13" ht="12.75">
      <c r="F209" s="2"/>
      <c r="G209" s="2"/>
      <c r="H209" s="3"/>
      <c r="I209" s="4"/>
      <c r="J209" s="4"/>
      <c r="L209" s="5"/>
      <c r="M209" s="5"/>
    </row>
    <row r="210" spans="6:13" ht="12.75">
      <c r="F210" s="2"/>
      <c r="G210" s="2"/>
      <c r="H210" s="3"/>
      <c r="I210" s="4"/>
      <c r="J210" s="4"/>
      <c r="L210" s="5"/>
      <c r="M210" s="5"/>
    </row>
    <row r="211" spans="6:13" ht="12.75">
      <c r="F211" s="2"/>
      <c r="G211" s="2"/>
      <c r="H211" s="3"/>
      <c r="I211" s="4"/>
      <c r="J211" s="4"/>
      <c r="L211" s="5"/>
      <c r="M211" s="5"/>
    </row>
    <row r="212" spans="6:13" ht="12.75">
      <c r="F212" s="2"/>
      <c r="G212" s="2"/>
      <c r="H212" s="3"/>
      <c r="I212" s="4"/>
      <c r="J212" s="4"/>
      <c r="L212" s="5"/>
      <c r="M212" s="5"/>
    </row>
    <row r="213" spans="6:13" ht="12.75">
      <c r="F213" s="2"/>
      <c r="G213" s="2"/>
      <c r="H213" s="3"/>
      <c r="I213" s="4"/>
      <c r="J213" s="4"/>
      <c r="L213" s="5"/>
      <c r="M213" s="5"/>
    </row>
    <row r="214" spans="6:13" ht="12.75">
      <c r="F214" s="2"/>
      <c r="G214" s="2"/>
      <c r="H214" s="3"/>
      <c r="I214" s="4"/>
      <c r="J214" s="4"/>
      <c r="L214" s="5"/>
      <c r="M214" s="5"/>
    </row>
    <row r="215" spans="6:13" ht="12.75">
      <c r="F215" s="2"/>
      <c r="G215" s="2"/>
      <c r="H215" s="3"/>
      <c r="I215" s="4"/>
      <c r="J215" s="4"/>
      <c r="L215" s="5"/>
      <c r="M215" s="5"/>
    </row>
    <row r="216" spans="6:13" ht="12.75">
      <c r="F216" s="2"/>
      <c r="G216" s="2"/>
      <c r="H216" s="3"/>
      <c r="I216" s="4"/>
      <c r="J216" s="4"/>
      <c r="L216" s="5"/>
      <c r="M216" s="5"/>
    </row>
    <row r="217" spans="6:13" ht="12.75">
      <c r="F217" s="2"/>
      <c r="G217" s="2"/>
      <c r="H217" s="3"/>
      <c r="I217" s="4"/>
      <c r="J217" s="4"/>
      <c r="L217" s="5"/>
      <c r="M217" s="5"/>
    </row>
    <row r="218" spans="6:13" ht="12.75">
      <c r="F218" s="2"/>
      <c r="G218" s="2"/>
      <c r="H218" s="3"/>
      <c r="I218" s="4"/>
      <c r="J218" s="4"/>
      <c r="L218" s="5"/>
      <c r="M218" s="5"/>
    </row>
    <row r="219" spans="6:13" ht="12.75">
      <c r="F219" s="2"/>
      <c r="G219" s="2"/>
      <c r="H219" s="3"/>
      <c r="I219" s="4"/>
      <c r="J219" s="4"/>
      <c r="L219" s="5"/>
      <c r="M219" s="5"/>
    </row>
    <row r="220" spans="6:13" ht="12.75">
      <c r="F220" s="2"/>
      <c r="G220" s="2"/>
      <c r="H220" s="3"/>
      <c r="I220" s="4"/>
      <c r="J220" s="4"/>
      <c r="L220" s="5"/>
      <c r="M220" s="5"/>
    </row>
    <row r="221" spans="6:13" ht="12.75">
      <c r="F221" s="2"/>
      <c r="G221" s="2"/>
      <c r="H221" s="3"/>
      <c r="I221" s="4"/>
      <c r="J221" s="4"/>
      <c r="L221" s="5"/>
      <c r="M221" s="5"/>
    </row>
    <row r="222" spans="6:13" ht="12.75">
      <c r="F222" s="2"/>
      <c r="G222" s="2"/>
      <c r="H222" s="3"/>
      <c r="I222" s="4"/>
      <c r="J222" s="4"/>
      <c r="L222" s="5"/>
      <c r="M222" s="5"/>
    </row>
    <row r="223" spans="6:13" ht="12.75">
      <c r="F223" s="2"/>
      <c r="G223" s="2"/>
      <c r="H223" s="3"/>
      <c r="I223" s="4"/>
      <c r="J223" s="4"/>
      <c r="L223" s="5"/>
      <c r="M223" s="5"/>
    </row>
    <row r="224" spans="6:13" ht="12.75">
      <c r="F224" s="2"/>
      <c r="G224" s="2"/>
      <c r="H224" s="3"/>
      <c r="I224" s="4"/>
      <c r="J224" s="4"/>
      <c r="L224" s="5"/>
      <c r="M224" s="5"/>
    </row>
    <row r="225" spans="6:13" ht="12.75">
      <c r="F225" s="2"/>
      <c r="G225" s="2"/>
      <c r="H225" s="3"/>
      <c r="I225" s="4"/>
      <c r="J225" s="4"/>
      <c r="L225" s="5"/>
      <c r="M225" s="5"/>
    </row>
    <row r="226" spans="6:13" ht="12.75">
      <c r="F226" s="2"/>
      <c r="G226" s="2"/>
      <c r="H226" s="3"/>
      <c r="I226" s="4"/>
      <c r="J226" s="4"/>
      <c r="L226" s="5"/>
      <c r="M226" s="5"/>
    </row>
    <row r="227" spans="6:13" ht="12.75">
      <c r="F227" s="2"/>
      <c r="G227" s="2"/>
      <c r="H227" s="3"/>
      <c r="I227" s="4"/>
      <c r="J227" s="4"/>
      <c r="L227" s="5"/>
      <c r="M227" s="5"/>
    </row>
    <row r="228" spans="6:13" ht="12.75">
      <c r="F228" s="2"/>
      <c r="G228" s="2"/>
      <c r="H228" s="3"/>
      <c r="I228" s="4"/>
      <c r="J228" s="4"/>
      <c r="L228" s="5"/>
      <c r="M228" s="5"/>
    </row>
    <row r="229" spans="6:13" ht="12.75">
      <c r="F229" s="2"/>
      <c r="G229" s="2"/>
      <c r="H229" s="3"/>
      <c r="I229" s="4"/>
      <c r="J229" s="4"/>
      <c r="L229" s="5"/>
      <c r="M229" s="5"/>
    </row>
    <row r="230" spans="6:13" ht="12.75">
      <c r="F230" s="2"/>
      <c r="G230" s="2"/>
      <c r="H230" s="3"/>
      <c r="I230" s="4"/>
      <c r="J230" s="4"/>
      <c r="L230" s="5"/>
      <c r="M230" s="5"/>
    </row>
    <row r="231" spans="6:13" ht="12.75">
      <c r="F231" s="2"/>
      <c r="G231" s="2"/>
      <c r="H231" s="3"/>
      <c r="I231" s="4"/>
      <c r="J231" s="4"/>
      <c r="L231" s="5"/>
      <c r="M231" s="5"/>
    </row>
    <row r="232" spans="6:13" ht="12.75">
      <c r="F232" s="2"/>
      <c r="G232" s="2"/>
      <c r="H232" s="3"/>
      <c r="I232" s="4"/>
      <c r="J232" s="4"/>
      <c r="L232" s="5"/>
      <c r="M232" s="5"/>
    </row>
    <row r="233" spans="6:13" ht="12.75">
      <c r="F233" s="2"/>
      <c r="G233" s="2"/>
      <c r="H233" s="3"/>
      <c r="I233" s="4"/>
      <c r="J233" s="4"/>
      <c r="L233" s="5"/>
      <c r="M233" s="5"/>
    </row>
    <row r="234" spans="6:13" ht="12.75">
      <c r="F234" s="2"/>
      <c r="G234" s="2"/>
      <c r="H234" s="3"/>
      <c r="I234" s="4"/>
      <c r="J234" s="4"/>
      <c r="L234" s="5"/>
      <c r="M234" s="5"/>
    </row>
    <row r="235" spans="6:13" ht="12.75">
      <c r="F235" s="2"/>
      <c r="G235" s="2"/>
      <c r="H235" s="3"/>
      <c r="I235" s="4"/>
      <c r="J235" s="4"/>
      <c r="L235" s="5"/>
      <c r="M235" s="5"/>
    </row>
    <row r="236" spans="6:13" ht="12.75">
      <c r="F236" s="2"/>
      <c r="G236" s="2"/>
      <c r="H236" s="3"/>
      <c r="I236" s="4"/>
      <c r="J236" s="4"/>
      <c r="L236" s="5"/>
      <c r="M236" s="5"/>
    </row>
    <row r="237" spans="6:13" ht="12.75">
      <c r="F237" s="2"/>
      <c r="G237" s="2"/>
      <c r="H237" s="3"/>
      <c r="I237" s="4"/>
      <c r="J237" s="4"/>
      <c r="L237" s="5"/>
      <c r="M237" s="5"/>
    </row>
    <row r="238" spans="6:13" ht="12.75">
      <c r="F238" s="2"/>
      <c r="G238" s="2"/>
      <c r="H238" s="3"/>
      <c r="I238" s="4"/>
      <c r="J238" s="4"/>
      <c r="L238" s="5"/>
      <c r="M238" s="5"/>
    </row>
    <row r="239" spans="6:13" ht="12.75">
      <c r="F239" s="2"/>
      <c r="G239" s="2"/>
      <c r="H239" s="3"/>
      <c r="I239" s="4"/>
      <c r="J239" s="4"/>
      <c r="L239" s="5"/>
      <c r="M239" s="5"/>
    </row>
    <row r="240" spans="6:13" ht="12.75">
      <c r="F240" s="2"/>
      <c r="G240" s="2"/>
      <c r="H240" s="3"/>
      <c r="I240" s="4"/>
      <c r="J240" s="4"/>
      <c r="L240" s="5"/>
      <c r="M240" s="5"/>
    </row>
    <row r="241" spans="6:13" ht="12.75">
      <c r="F241" s="2"/>
      <c r="G241" s="2"/>
      <c r="H241" s="3"/>
      <c r="I241" s="4"/>
      <c r="J241" s="4"/>
      <c r="L241" s="5"/>
      <c r="M241" s="5"/>
    </row>
    <row r="242" spans="6:13" ht="12.75">
      <c r="F242" s="2"/>
      <c r="G242" s="2"/>
      <c r="H242" s="3"/>
      <c r="I242" s="4"/>
      <c r="J242" s="4"/>
      <c r="L242" s="5"/>
      <c r="M242" s="5"/>
    </row>
    <row r="243" spans="6:13" ht="12.75">
      <c r="F243" s="2"/>
      <c r="G243" s="2"/>
      <c r="H243" s="3"/>
      <c r="I243" s="4"/>
      <c r="J243" s="4"/>
      <c r="L243" s="5"/>
      <c r="M243" s="5"/>
    </row>
    <row r="244" spans="6:13" ht="12.75">
      <c r="F244" s="2"/>
      <c r="G244" s="2"/>
      <c r="H244" s="3"/>
      <c r="I244" s="4"/>
      <c r="J244" s="4"/>
      <c r="L244" s="5"/>
      <c r="M244" s="5"/>
    </row>
    <row r="245" spans="6:13" ht="12.75">
      <c r="F245" s="2"/>
      <c r="G245" s="2"/>
      <c r="H245" s="3"/>
      <c r="I245" s="4"/>
      <c r="J245" s="4"/>
      <c r="L245" s="5"/>
      <c r="M245" s="5"/>
    </row>
    <row r="246" spans="6:13" ht="12.75">
      <c r="F246" s="2"/>
      <c r="G246" s="2"/>
      <c r="H246" s="3"/>
      <c r="I246" s="4"/>
      <c r="J246" s="4"/>
      <c r="L246" s="5"/>
      <c r="M246" s="5"/>
    </row>
    <row r="247" spans="6:13" ht="12.75">
      <c r="F247" s="2"/>
      <c r="G247" s="2"/>
      <c r="H247" s="3"/>
      <c r="I247" s="4"/>
      <c r="J247" s="4"/>
      <c r="L247" s="5"/>
      <c r="M247" s="5"/>
    </row>
    <row r="248" spans="6:13" ht="12.75">
      <c r="F248" s="2"/>
      <c r="G248" s="2"/>
      <c r="H248" s="3"/>
      <c r="I248" s="4"/>
      <c r="J248" s="4"/>
      <c r="L248" s="5"/>
      <c r="M248" s="5"/>
    </row>
    <row r="249" spans="6:13" ht="12.75">
      <c r="F249" s="2"/>
      <c r="G249" s="2"/>
      <c r="H249" s="3"/>
      <c r="I249" s="4"/>
      <c r="J249" s="4"/>
      <c r="L249" s="5"/>
      <c r="M249" s="5"/>
    </row>
    <row r="250" spans="6:13" ht="12.75">
      <c r="F250" s="2"/>
      <c r="G250" s="2"/>
      <c r="H250" s="3"/>
      <c r="I250" s="4"/>
      <c r="J250" s="4"/>
      <c r="L250" s="5"/>
      <c r="M250" s="5"/>
    </row>
    <row r="251" spans="6:13" ht="12.75">
      <c r="F251" s="2"/>
      <c r="G251" s="2"/>
      <c r="H251" s="3"/>
      <c r="I251" s="4"/>
      <c r="J251" s="4"/>
      <c r="L251" s="5"/>
      <c r="M251" s="5"/>
    </row>
    <row r="252" spans="6:13" ht="12.75">
      <c r="F252" s="2"/>
      <c r="G252" s="2"/>
      <c r="H252" s="3"/>
      <c r="I252" s="4"/>
      <c r="J252" s="4"/>
      <c r="L252" s="5"/>
      <c r="M252" s="5"/>
    </row>
    <row r="253" spans="6:13" ht="12.75">
      <c r="F253" s="2"/>
      <c r="G253" s="2"/>
      <c r="H253" s="3"/>
      <c r="I253" s="4"/>
      <c r="J253" s="4"/>
      <c r="L253" s="5"/>
      <c r="M253" s="5"/>
    </row>
    <row r="254" spans="6:13" ht="12.75">
      <c r="F254" s="2"/>
      <c r="G254" s="2"/>
      <c r="H254" s="3"/>
      <c r="I254" s="4"/>
      <c r="J254" s="4"/>
      <c r="L254" s="5"/>
      <c r="M254" s="5"/>
    </row>
    <row r="255" spans="6:13" ht="12.75">
      <c r="F255" s="2"/>
      <c r="G255" s="2"/>
      <c r="H255" s="3"/>
      <c r="I255" s="4"/>
      <c r="J255" s="4"/>
      <c r="L255" s="5"/>
      <c r="M255" s="5"/>
    </row>
    <row r="256" spans="6:13" ht="12.75">
      <c r="F256" s="2"/>
      <c r="G256" s="2"/>
      <c r="H256" s="3"/>
      <c r="I256" s="4"/>
      <c r="J256" s="4"/>
      <c r="L256" s="5"/>
      <c r="M256" s="5"/>
    </row>
    <row r="257" spans="6:13" ht="12.75">
      <c r="F257" s="2"/>
      <c r="G257" s="2"/>
      <c r="H257" s="3"/>
      <c r="I257" s="4"/>
      <c r="J257" s="4"/>
      <c r="L257" s="5"/>
      <c r="M257" s="5"/>
    </row>
    <row r="258" spans="6:13" ht="12.75">
      <c r="F258" s="2"/>
      <c r="G258" s="2"/>
      <c r="H258" s="3"/>
      <c r="I258" s="4"/>
      <c r="J258" s="4"/>
      <c r="L258" s="5"/>
      <c r="M258" s="5"/>
    </row>
    <row r="259" spans="6:13" ht="12.75">
      <c r="F259" s="2"/>
      <c r="G259" s="2"/>
      <c r="H259" s="3"/>
      <c r="I259" s="4"/>
      <c r="J259" s="4"/>
      <c r="L259" s="5"/>
      <c r="M259" s="5"/>
    </row>
    <row r="260" spans="6:13" ht="12.75">
      <c r="F260" s="2"/>
      <c r="G260" s="2"/>
      <c r="H260" s="3"/>
      <c r="I260" s="4"/>
      <c r="J260" s="4"/>
      <c r="L260" s="5"/>
      <c r="M260" s="5"/>
    </row>
    <row r="261" spans="6:13" ht="12.75">
      <c r="F261" s="2"/>
      <c r="G261" s="2"/>
      <c r="H261" s="3"/>
      <c r="I261" s="4"/>
      <c r="J261" s="4"/>
      <c r="L261" s="5"/>
      <c r="M261" s="5"/>
    </row>
    <row r="262" spans="6:13" ht="12.75">
      <c r="F262" s="2"/>
      <c r="G262" s="2"/>
      <c r="H262" s="3"/>
      <c r="I262" s="4"/>
      <c r="J262" s="4"/>
      <c r="L262" s="5"/>
      <c r="M262" s="5"/>
    </row>
    <row r="263" spans="6:13" ht="12.75">
      <c r="F263" s="2"/>
      <c r="G263" s="2"/>
      <c r="H263" s="3"/>
      <c r="I263" s="4"/>
      <c r="J263" s="4"/>
      <c r="L263" s="5"/>
      <c r="M263" s="5"/>
    </row>
    <row r="264" spans="6:13" ht="12.75">
      <c r="F264" s="2"/>
      <c r="G264" s="2"/>
      <c r="H264" s="3"/>
      <c r="I264" s="4"/>
      <c r="J264" s="4"/>
      <c r="L264" s="5"/>
      <c r="M264" s="5"/>
    </row>
    <row r="265" spans="6:13" ht="12.75">
      <c r="F265" s="2"/>
      <c r="G265" s="2"/>
      <c r="H265" s="3"/>
      <c r="I265" s="4"/>
      <c r="J265" s="4"/>
      <c r="L265" s="5"/>
      <c r="M265" s="5"/>
    </row>
    <row r="266" spans="6:13" ht="12.75">
      <c r="F266" s="2"/>
      <c r="G266" s="2"/>
      <c r="H266" s="3"/>
      <c r="I266" s="4"/>
      <c r="J266" s="4"/>
      <c r="L266" s="5"/>
      <c r="M266" s="5"/>
    </row>
  </sheetData>
  <mergeCells count="10">
    <mergeCell ref="R42:S42"/>
    <mergeCell ref="I42:J42"/>
    <mergeCell ref="L42:M42"/>
    <mergeCell ref="N42:O42"/>
    <mergeCell ref="P42:Q42"/>
    <mergeCell ref="R6:S6"/>
    <mergeCell ref="I6:J6"/>
    <mergeCell ref="L6:M6"/>
    <mergeCell ref="N6:O6"/>
    <mergeCell ref="P6:Q6"/>
  </mergeCells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76"/>
  <sheetViews>
    <sheetView zoomScale="85" zoomScaleNormal="85" workbookViewId="0" topLeftCell="A1">
      <selection activeCell="I33" sqref="I33"/>
    </sheetView>
  </sheetViews>
  <sheetFormatPr defaultColWidth="9.140625" defaultRowHeight="12.75"/>
  <cols>
    <col min="3" max="3" width="23.140625" style="0" customWidth="1"/>
    <col min="4" max="7" width="12.00390625" style="0" customWidth="1"/>
  </cols>
  <sheetData>
    <row r="2" ht="12.75">
      <c r="C2" s="54" t="s">
        <v>434</v>
      </c>
    </row>
    <row r="3" ht="12.75">
      <c r="C3" s="54" t="s">
        <v>435</v>
      </c>
    </row>
    <row r="5" spans="4:7" ht="12.75">
      <c r="D5" s="11"/>
      <c r="E5" s="11" t="s">
        <v>430</v>
      </c>
      <c r="F5" s="11" t="s">
        <v>432</v>
      </c>
      <c r="G5" s="11" t="s">
        <v>433</v>
      </c>
    </row>
    <row r="6" spans="3:7" ht="12.75">
      <c r="C6" s="15" t="s">
        <v>358</v>
      </c>
      <c r="D6" s="1" t="s">
        <v>428</v>
      </c>
      <c r="E6" s="1" t="s">
        <v>429</v>
      </c>
      <c r="F6" s="1" t="s">
        <v>431</v>
      </c>
      <c r="G6" s="1" t="s">
        <v>429</v>
      </c>
    </row>
    <row r="8" spans="3:7" ht="12.75">
      <c r="C8" s="13" t="s">
        <v>394</v>
      </c>
      <c r="D8" s="14">
        <v>465</v>
      </c>
      <c r="E8" s="5">
        <v>465</v>
      </c>
      <c r="F8" s="5">
        <v>465</v>
      </c>
      <c r="G8" s="5">
        <v>465</v>
      </c>
    </row>
    <row r="9" spans="3:7" ht="12.75">
      <c r="C9" s="13" t="s">
        <v>395</v>
      </c>
      <c r="D9" s="14">
        <v>1009</v>
      </c>
      <c r="E9" s="5">
        <v>1009</v>
      </c>
      <c r="F9" s="5">
        <v>1009</v>
      </c>
      <c r="G9" s="5">
        <v>1009</v>
      </c>
    </row>
    <row r="10" spans="3:7" ht="12.75">
      <c r="C10" s="13" t="s">
        <v>396</v>
      </c>
      <c r="D10" s="14">
        <v>918</v>
      </c>
      <c r="E10" s="5">
        <v>918</v>
      </c>
      <c r="F10" s="5">
        <v>1164</v>
      </c>
      <c r="G10" s="5">
        <v>1164</v>
      </c>
    </row>
    <row r="11" spans="3:7" ht="12.75">
      <c r="C11" s="13" t="s">
        <v>397</v>
      </c>
      <c r="D11" s="14">
        <v>1462</v>
      </c>
      <c r="E11" s="5">
        <v>2006</v>
      </c>
      <c r="F11" s="5">
        <v>3170</v>
      </c>
      <c r="G11" s="5">
        <v>3715</v>
      </c>
    </row>
    <row r="12" spans="3:7" ht="12.75">
      <c r="C12" s="13" t="s">
        <v>398</v>
      </c>
      <c r="D12" s="14">
        <v>522</v>
      </c>
      <c r="E12" s="5">
        <v>522</v>
      </c>
      <c r="F12" s="5">
        <v>522</v>
      </c>
      <c r="G12" s="5">
        <v>522</v>
      </c>
    </row>
    <row r="13" spans="3:7" ht="12.75">
      <c r="C13" s="13" t="s">
        <v>399</v>
      </c>
      <c r="D13" s="14">
        <v>293</v>
      </c>
      <c r="E13" s="5">
        <v>293</v>
      </c>
      <c r="F13" s="5">
        <v>293</v>
      </c>
      <c r="G13" s="5">
        <v>293</v>
      </c>
    </row>
    <row r="14" spans="3:7" ht="12.75">
      <c r="C14" s="13" t="s">
        <v>400</v>
      </c>
      <c r="D14" s="14">
        <v>465</v>
      </c>
      <c r="E14" s="5">
        <v>465</v>
      </c>
      <c r="F14" s="5">
        <v>465</v>
      </c>
      <c r="G14" s="5">
        <v>465</v>
      </c>
    </row>
    <row r="15" spans="3:7" ht="12.75">
      <c r="C15" s="13" t="s">
        <v>401</v>
      </c>
      <c r="D15" s="14">
        <v>1134</v>
      </c>
      <c r="E15" s="5">
        <v>1134</v>
      </c>
      <c r="F15" s="5">
        <v>1134</v>
      </c>
      <c r="G15" s="5">
        <v>1134</v>
      </c>
    </row>
    <row r="16" spans="3:7" ht="12.75">
      <c r="C16" s="13" t="s">
        <v>402</v>
      </c>
      <c r="D16" s="14">
        <v>1134</v>
      </c>
      <c r="E16" s="5">
        <v>1134</v>
      </c>
      <c r="F16" s="5">
        <v>1134</v>
      </c>
      <c r="G16" s="5">
        <v>1134</v>
      </c>
    </row>
    <row r="17" spans="3:7" ht="12.75">
      <c r="C17" s="13" t="s">
        <v>403</v>
      </c>
      <c r="D17" s="14">
        <v>1487</v>
      </c>
      <c r="E17" s="5">
        <v>2057</v>
      </c>
      <c r="F17" s="5">
        <v>1733</v>
      </c>
      <c r="G17" s="5">
        <v>2303</v>
      </c>
    </row>
    <row r="18" spans="3:7" ht="12.75">
      <c r="C18" s="13" t="s">
        <v>404</v>
      </c>
      <c r="D18" s="14">
        <v>1202</v>
      </c>
      <c r="E18" s="5">
        <v>1487</v>
      </c>
      <c r="F18" s="5">
        <v>1449</v>
      </c>
      <c r="G18" s="5">
        <v>1733</v>
      </c>
    </row>
    <row r="19" spans="3:7" ht="12.75">
      <c r="C19" s="13" t="s">
        <v>405</v>
      </c>
      <c r="D19" s="14">
        <v>291</v>
      </c>
      <c r="E19" s="5">
        <v>291</v>
      </c>
      <c r="F19" s="5">
        <v>291</v>
      </c>
      <c r="G19" s="5">
        <v>293</v>
      </c>
    </row>
    <row r="20" spans="3:7" ht="12.75">
      <c r="C20" s="13" t="s">
        <v>406</v>
      </c>
      <c r="D20" s="14">
        <v>895</v>
      </c>
      <c r="E20" s="5">
        <v>1118</v>
      </c>
      <c r="F20" s="5">
        <v>895</v>
      </c>
      <c r="G20" s="5">
        <v>1118</v>
      </c>
    </row>
    <row r="21" spans="3:7" ht="12.75">
      <c r="C21" s="13" t="s">
        <v>407</v>
      </c>
      <c r="D21" s="14">
        <v>918</v>
      </c>
      <c r="E21" s="5">
        <v>918</v>
      </c>
      <c r="F21" s="5">
        <v>1164</v>
      </c>
      <c r="G21" s="5">
        <v>1164</v>
      </c>
    </row>
    <row r="22" spans="3:7" ht="12.75">
      <c r="C22" s="13" t="s">
        <v>408</v>
      </c>
      <c r="D22" s="14">
        <v>1462</v>
      </c>
      <c r="E22" s="5">
        <v>2006</v>
      </c>
      <c r="F22" s="5">
        <v>3170</v>
      </c>
      <c r="G22" s="5">
        <v>3715</v>
      </c>
    </row>
    <row r="23" spans="3:7" ht="12.75">
      <c r="C23" s="13" t="s">
        <v>359</v>
      </c>
      <c r="D23" s="14">
        <v>293</v>
      </c>
      <c r="E23" s="5">
        <v>293</v>
      </c>
      <c r="F23" s="5">
        <v>293</v>
      </c>
      <c r="G23" s="5">
        <v>293</v>
      </c>
    </row>
    <row r="24" spans="3:7" ht="12.75">
      <c r="C24" s="13" t="s">
        <v>360</v>
      </c>
      <c r="D24" s="14">
        <v>1125</v>
      </c>
      <c r="E24" s="5">
        <v>1331</v>
      </c>
      <c r="F24" s="5">
        <v>1371</v>
      </c>
      <c r="G24" s="5">
        <v>1578</v>
      </c>
    </row>
    <row r="25" spans="3:7" ht="12.75">
      <c r="C25" s="13" t="s">
        <v>393</v>
      </c>
      <c r="D25" s="14">
        <v>293</v>
      </c>
      <c r="E25" s="5">
        <v>293</v>
      </c>
      <c r="F25" s="5">
        <v>293</v>
      </c>
      <c r="G25" s="5">
        <v>293</v>
      </c>
    </row>
    <row r="26" spans="3:7" ht="12.75">
      <c r="C26" s="13" t="s">
        <v>361</v>
      </c>
      <c r="D26" s="14">
        <v>170</v>
      </c>
      <c r="E26" s="5">
        <v>170</v>
      </c>
      <c r="F26" s="5">
        <v>170</v>
      </c>
      <c r="G26" s="5">
        <v>170</v>
      </c>
    </row>
    <row r="27" spans="3:7" ht="12.75">
      <c r="C27" s="13" t="s">
        <v>362</v>
      </c>
      <c r="D27" s="14">
        <v>918</v>
      </c>
      <c r="E27" s="5">
        <v>918</v>
      </c>
      <c r="F27" s="5">
        <v>1164</v>
      </c>
      <c r="G27" s="5">
        <v>1164</v>
      </c>
    </row>
    <row r="28" spans="3:7" ht="12.75">
      <c r="C28" s="13" t="s">
        <v>363</v>
      </c>
      <c r="D28" s="14">
        <v>986</v>
      </c>
      <c r="E28" s="5">
        <v>1055</v>
      </c>
      <c r="F28" s="5">
        <v>1233</v>
      </c>
      <c r="G28" s="5">
        <v>1302</v>
      </c>
    </row>
    <row r="29" spans="3:7" ht="12.75">
      <c r="C29" s="13" t="s">
        <v>364</v>
      </c>
      <c r="D29" s="14">
        <v>1462</v>
      </c>
      <c r="E29" s="5">
        <v>2006</v>
      </c>
      <c r="F29" s="5">
        <v>3170</v>
      </c>
      <c r="G29" s="5">
        <v>3715</v>
      </c>
    </row>
    <row r="30" spans="3:7" ht="12.75">
      <c r="C30" s="13" t="s">
        <v>365</v>
      </c>
      <c r="D30" s="14">
        <v>1222</v>
      </c>
      <c r="E30" s="5">
        <v>1525</v>
      </c>
      <c r="F30" s="5">
        <v>1468</v>
      </c>
      <c r="G30" s="5">
        <v>1772</v>
      </c>
    </row>
    <row r="31" spans="3:7" ht="12.75">
      <c r="C31" s="13" t="s">
        <v>366</v>
      </c>
      <c r="D31" s="14">
        <v>171</v>
      </c>
      <c r="E31" s="5">
        <v>171</v>
      </c>
      <c r="F31" s="5">
        <v>171</v>
      </c>
      <c r="G31" s="5">
        <v>171</v>
      </c>
    </row>
    <row r="32" spans="3:7" ht="12.75">
      <c r="C32" s="13" t="s">
        <v>367</v>
      </c>
      <c r="D32" s="14">
        <v>1096</v>
      </c>
      <c r="E32" s="5">
        <v>1274</v>
      </c>
      <c r="F32" s="5">
        <v>1343</v>
      </c>
      <c r="G32" s="5">
        <v>1521</v>
      </c>
    </row>
    <row r="33" spans="3:7" ht="12.75">
      <c r="C33" s="13" t="s">
        <v>368</v>
      </c>
      <c r="D33" s="14">
        <v>1008</v>
      </c>
      <c r="E33" s="5">
        <v>2017</v>
      </c>
      <c r="F33" s="5">
        <v>1008</v>
      </c>
      <c r="G33" s="5">
        <v>2017</v>
      </c>
    </row>
    <row r="34" spans="3:7" ht="12.75">
      <c r="C34" s="13" t="s">
        <v>369</v>
      </c>
      <c r="D34" s="14">
        <v>465</v>
      </c>
      <c r="E34" s="5">
        <v>465</v>
      </c>
      <c r="F34" s="5">
        <v>465</v>
      </c>
      <c r="G34" s="5">
        <v>465</v>
      </c>
    </row>
    <row r="35" spans="3:7" ht="12.75">
      <c r="C35" s="13" t="s">
        <v>370</v>
      </c>
      <c r="D35" s="14">
        <v>981</v>
      </c>
      <c r="E35" s="5">
        <v>1962</v>
      </c>
      <c r="F35" s="5">
        <v>981</v>
      </c>
      <c r="G35" s="5">
        <v>1962</v>
      </c>
    </row>
    <row r="36" spans="3:7" ht="12.75">
      <c r="C36" s="13" t="s">
        <v>371</v>
      </c>
      <c r="D36" s="14">
        <v>918</v>
      </c>
      <c r="E36" s="5">
        <v>918</v>
      </c>
      <c r="F36" s="5">
        <v>1164</v>
      </c>
      <c r="G36" s="5">
        <v>1164</v>
      </c>
    </row>
    <row r="37" spans="3:7" ht="12.75">
      <c r="C37" s="13" t="s">
        <v>372</v>
      </c>
      <c r="D37" s="14">
        <v>997</v>
      </c>
      <c r="E37" s="5">
        <v>1993</v>
      </c>
      <c r="F37" s="5">
        <v>997</v>
      </c>
      <c r="G37" s="5">
        <v>1993</v>
      </c>
    </row>
    <row r="38" spans="3:7" ht="12.75">
      <c r="C38" s="13" t="s">
        <v>373</v>
      </c>
      <c r="D38" s="14">
        <v>1134</v>
      </c>
      <c r="E38" s="5">
        <v>1134</v>
      </c>
      <c r="F38" s="5">
        <v>1134</v>
      </c>
      <c r="G38" s="5">
        <v>1134</v>
      </c>
    </row>
    <row r="39" spans="3:7" ht="12.75">
      <c r="C39" s="13" t="s">
        <v>374</v>
      </c>
      <c r="D39" s="14">
        <v>1009</v>
      </c>
      <c r="E39" s="5">
        <v>1009</v>
      </c>
      <c r="F39" s="5">
        <v>1009</v>
      </c>
      <c r="G39" s="5">
        <v>1009</v>
      </c>
    </row>
    <row r="40" spans="3:7" ht="12.75">
      <c r="C40" s="13" t="s">
        <v>375</v>
      </c>
      <c r="D40" s="14">
        <v>522</v>
      </c>
      <c r="E40" s="5">
        <v>522</v>
      </c>
      <c r="F40" s="5">
        <v>522</v>
      </c>
      <c r="G40" s="5">
        <v>522</v>
      </c>
    </row>
    <row r="41" spans="3:7" ht="12.75">
      <c r="C41" s="13" t="s">
        <v>376</v>
      </c>
      <c r="D41" s="14">
        <v>465</v>
      </c>
      <c r="E41" s="5">
        <v>465</v>
      </c>
      <c r="F41" s="5">
        <v>465</v>
      </c>
      <c r="G41" s="5">
        <v>465</v>
      </c>
    </row>
    <row r="42" spans="3:7" ht="12.75">
      <c r="C42" s="13" t="s">
        <v>377</v>
      </c>
      <c r="D42" s="14">
        <v>293</v>
      </c>
      <c r="E42" s="5">
        <v>293</v>
      </c>
      <c r="F42" s="5">
        <v>293</v>
      </c>
      <c r="G42" s="5">
        <v>293</v>
      </c>
    </row>
    <row r="43" spans="3:7" ht="12.75">
      <c r="C43" s="13" t="s">
        <v>382</v>
      </c>
      <c r="D43" s="14">
        <v>673</v>
      </c>
      <c r="E43" s="5">
        <v>673</v>
      </c>
      <c r="F43" s="5">
        <v>673</v>
      </c>
      <c r="G43" s="5">
        <v>673</v>
      </c>
    </row>
    <row r="44" spans="3:7" ht="12.75">
      <c r="C44" s="13" t="s">
        <v>378</v>
      </c>
      <c r="D44" s="14">
        <v>4692</v>
      </c>
      <c r="E44" s="5">
        <v>9383</v>
      </c>
      <c r="F44" s="5">
        <v>4938</v>
      </c>
      <c r="G44" s="5">
        <v>9877</v>
      </c>
    </row>
    <row r="45" spans="3:7" ht="12.75">
      <c r="C45" s="13" t="s">
        <v>379</v>
      </c>
      <c r="D45" s="14">
        <v>501</v>
      </c>
      <c r="E45" s="5">
        <v>501</v>
      </c>
      <c r="F45" s="5">
        <v>501</v>
      </c>
      <c r="G45" s="5">
        <v>501</v>
      </c>
    </row>
    <row r="46" spans="3:7" ht="12.75">
      <c r="C46" s="13" t="s">
        <v>380</v>
      </c>
      <c r="D46" s="14">
        <v>673</v>
      </c>
      <c r="E46" s="5">
        <v>673</v>
      </c>
      <c r="F46" s="5">
        <v>673</v>
      </c>
      <c r="G46" s="5">
        <v>673</v>
      </c>
    </row>
    <row r="47" spans="3:7" ht="12.75">
      <c r="C47" s="13" t="s">
        <v>381</v>
      </c>
      <c r="D47" s="14">
        <v>673</v>
      </c>
      <c r="E47" s="5">
        <v>673</v>
      </c>
      <c r="F47" s="5">
        <v>673</v>
      </c>
      <c r="G47" s="5">
        <v>673</v>
      </c>
    </row>
    <row r="48" spans="3:7" ht="12.75">
      <c r="C48" s="13" t="s">
        <v>383</v>
      </c>
      <c r="D48" s="14">
        <v>918</v>
      </c>
      <c r="E48" s="5">
        <v>918</v>
      </c>
      <c r="F48" s="5">
        <v>1164</v>
      </c>
      <c r="G48" s="5">
        <v>1164</v>
      </c>
    </row>
    <row r="49" spans="3:7" ht="12.75">
      <c r="C49" s="13" t="s">
        <v>384</v>
      </c>
      <c r="D49" s="14">
        <v>293</v>
      </c>
      <c r="E49" s="5">
        <v>293</v>
      </c>
      <c r="F49" s="5">
        <v>293</v>
      </c>
      <c r="G49" s="5">
        <v>293</v>
      </c>
    </row>
    <row r="50" spans="3:7" ht="12.75">
      <c r="C50" s="13" t="s">
        <v>385</v>
      </c>
      <c r="D50" s="14">
        <v>1134</v>
      </c>
      <c r="E50" s="5">
        <v>1134</v>
      </c>
      <c r="F50" s="5">
        <v>1134</v>
      </c>
      <c r="G50" s="5">
        <v>1134</v>
      </c>
    </row>
    <row r="51" spans="3:7" ht="12.75">
      <c r="C51" s="13" t="s">
        <v>386</v>
      </c>
      <c r="D51" s="14">
        <v>918</v>
      </c>
      <c r="E51" s="5">
        <v>918</v>
      </c>
      <c r="F51" s="5">
        <v>1164</v>
      </c>
      <c r="G51" s="5">
        <v>1164</v>
      </c>
    </row>
    <row r="52" spans="3:7" ht="12.75">
      <c r="C52" s="13" t="s">
        <v>387</v>
      </c>
      <c r="D52" s="14">
        <v>582</v>
      </c>
      <c r="E52" s="5">
        <v>582</v>
      </c>
      <c r="F52" s="5">
        <v>582</v>
      </c>
      <c r="G52" s="5">
        <v>582</v>
      </c>
    </row>
    <row r="53" spans="3:7" ht="12.75">
      <c r="C53" s="13" t="s">
        <v>388</v>
      </c>
      <c r="D53" s="14">
        <v>673</v>
      </c>
      <c r="E53" s="5">
        <v>673</v>
      </c>
      <c r="F53" s="5">
        <v>673</v>
      </c>
      <c r="G53" s="5">
        <v>673</v>
      </c>
    </row>
    <row r="54" spans="3:7" ht="12.75">
      <c r="C54" s="13" t="s">
        <v>391</v>
      </c>
      <c r="D54" s="14">
        <v>918</v>
      </c>
      <c r="E54" s="5">
        <v>918</v>
      </c>
      <c r="F54" s="5">
        <v>1164</v>
      </c>
      <c r="G54" s="5">
        <v>1164</v>
      </c>
    </row>
    <row r="55" spans="3:7" ht="12.75">
      <c r="C55" s="13" t="s">
        <v>389</v>
      </c>
      <c r="D55" s="14">
        <v>753</v>
      </c>
      <c r="E55" s="5">
        <v>753</v>
      </c>
      <c r="F55" s="5">
        <v>753</v>
      </c>
      <c r="G55" s="5">
        <v>753</v>
      </c>
    </row>
    <row r="56" spans="3:7" ht="12.75">
      <c r="C56" s="13" t="s">
        <v>390</v>
      </c>
      <c r="D56" s="14">
        <v>897</v>
      </c>
      <c r="E56" s="5">
        <v>897</v>
      </c>
      <c r="F56" s="5">
        <v>897</v>
      </c>
      <c r="G56" s="5">
        <v>897</v>
      </c>
    </row>
    <row r="57" spans="3:7" ht="12.75">
      <c r="C57" s="13" t="s">
        <v>392</v>
      </c>
      <c r="D57" s="14">
        <v>918</v>
      </c>
      <c r="E57" s="5">
        <v>918</v>
      </c>
      <c r="F57" s="5">
        <v>1164</v>
      </c>
      <c r="G57" s="5">
        <v>1164</v>
      </c>
    </row>
    <row r="58" spans="3:7" ht="12.75">
      <c r="C58" s="13" t="s">
        <v>409</v>
      </c>
      <c r="D58" s="14">
        <v>293</v>
      </c>
      <c r="E58" s="5">
        <v>293</v>
      </c>
      <c r="F58" s="5">
        <v>293</v>
      </c>
      <c r="G58" s="5">
        <v>293</v>
      </c>
    </row>
    <row r="59" spans="3:7" ht="12.75">
      <c r="C59" s="13" t="s">
        <v>410</v>
      </c>
      <c r="D59" s="14">
        <v>1202</v>
      </c>
      <c r="E59" s="5">
        <v>1487</v>
      </c>
      <c r="F59" s="5">
        <v>1449</v>
      </c>
      <c r="G59" s="5">
        <v>1733</v>
      </c>
    </row>
    <row r="60" spans="3:7" ht="12.75">
      <c r="C60" s="13" t="s">
        <v>411</v>
      </c>
      <c r="D60" s="14">
        <v>465</v>
      </c>
      <c r="E60" s="5">
        <v>465</v>
      </c>
      <c r="F60" s="5">
        <v>465</v>
      </c>
      <c r="G60" s="5">
        <v>465</v>
      </c>
    </row>
    <row r="61" spans="3:7" ht="12.75">
      <c r="C61" s="13" t="s">
        <v>412</v>
      </c>
      <c r="D61" s="14">
        <v>4456</v>
      </c>
      <c r="E61" s="5">
        <v>7994</v>
      </c>
      <c r="F61" s="5">
        <v>4703</v>
      </c>
      <c r="G61" s="5">
        <v>8242</v>
      </c>
    </row>
    <row r="62" spans="3:7" ht="12.75">
      <c r="C62" s="13" t="s">
        <v>413</v>
      </c>
      <c r="D62" s="14">
        <v>2324</v>
      </c>
      <c r="E62" s="5">
        <v>3638</v>
      </c>
      <c r="F62" s="5">
        <v>2324</v>
      </c>
      <c r="G62" s="5">
        <v>3638</v>
      </c>
    </row>
    <row r="63" spans="3:7" ht="12.75">
      <c r="C63" s="13" t="s">
        <v>414</v>
      </c>
      <c r="D63" s="14">
        <v>583</v>
      </c>
      <c r="E63" s="5">
        <v>583</v>
      </c>
      <c r="F63" s="5">
        <v>583</v>
      </c>
      <c r="G63" s="5">
        <v>583</v>
      </c>
    </row>
    <row r="64" spans="3:7" ht="12.75">
      <c r="C64" s="13" t="s">
        <v>415</v>
      </c>
      <c r="D64" s="14">
        <v>753</v>
      </c>
      <c r="E64" s="5">
        <v>753</v>
      </c>
      <c r="F64" s="5">
        <v>753</v>
      </c>
      <c r="G64" s="5">
        <v>753</v>
      </c>
    </row>
    <row r="65" spans="3:7" ht="12.75">
      <c r="C65" s="13" t="s">
        <v>416</v>
      </c>
      <c r="D65" s="14">
        <v>673</v>
      </c>
      <c r="E65" s="5">
        <v>673</v>
      </c>
      <c r="F65" s="5">
        <v>673</v>
      </c>
      <c r="G65" s="5">
        <v>673</v>
      </c>
    </row>
    <row r="66" spans="3:7" ht="12.75">
      <c r="C66" s="13" t="s">
        <v>417</v>
      </c>
      <c r="D66" s="14">
        <v>1134</v>
      </c>
      <c r="E66" s="5">
        <v>1134</v>
      </c>
      <c r="F66" s="5">
        <v>1134</v>
      </c>
      <c r="G66" s="5">
        <v>1134</v>
      </c>
    </row>
    <row r="67" spans="3:7" ht="12.75">
      <c r="C67" s="13" t="s">
        <v>418</v>
      </c>
      <c r="D67" s="14">
        <v>1134</v>
      </c>
      <c r="E67" s="5">
        <v>1134</v>
      </c>
      <c r="F67" s="5">
        <v>1134</v>
      </c>
      <c r="G67" s="5">
        <v>1134</v>
      </c>
    </row>
    <row r="68" spans="3:7" ht="12.75">
      <c r="C68" s="13" t="s">
        <v>419</v>
      </c>
      <c r="D68" s="14">
        <v>293</v>
      </c>
      <c r="E68" s="5">
        <v>293</v>
      </c>
      <c r="F68" s="5">
        <v>293</v>
      </c>
      <c r="G68" s="5">
        <v>293</v>
      </c>
    </row>
    <row r="69" spans="3:7" ht="12.75">
      <c r="C69" s="13" t="s">
        <v>420</v>
      </c>
      <c r="D69" s="14">
        <v>896</v>
      </c>
      <c r="E69" s="5">
        <v>896</v>
      </c>
      <c r="F69" s="5">
        <v>896</v>
      </c>
      <c r="G69" s="5">
        <v>896</v>
      </c>
    </row>
    <row r="70" spans="3:7" ht="12.75">
      <c r="C70" s="13" t="s">
        <v>421</v>
      </c>
      <c r="D70" s="14">
        <v>620</v>
      </c>
      <c r="E70" s="5">
        <v>1240</v>
      </c>
      <c r="F70" s="5">
        <v>620</v>
      </c>
      <c r="G70" s="5">
        <v>1240</v>
      </c>
    </row>
    <row r="71" spans="3:7" ht="12.75">
      <c r="C71" s="13" t="s">
        <v>422</v>
      </c>
      <c r="D71" s="14">
        <v>1543</v>
      </c>
      <c r="E71" s="5">
        <v>3086</v>
      </c>
      <c r="F71" s="5">
        <v>1543</v>
      </c>
      <c r="G71" s="5">
        <v>3086</v>
      </c>
    </row>
    <row r="72" spans="3:7" ht="12.75">
      <c r="C72" s="13" t="s">
        <v>423</v>
      </c>
      <c r="D72" s="14">
        <v>1134</v>
      </c>
      <c r="E72" s="5">
        <v>1134</v>
      </c>
      <c r="F72" s="5">
        <v>1134</v>
      </c>
      <c r="G72" s="5">
        <v>1134</v>
      </c>
    </row>
    <row r="73" spans="3:7" ht="12.75">
      <c r="C73" s="13" t="s">
        <v>424</v>
      </c>
      <c r="D73" s="14">
        <v>1428</v>
      </c>
      <c r="E73" s="5">
        <v>2856</v>
      </c>
      <c r="F73" s="5">
        <v>1428</v>
      </c>
      <c r="G73" s="5">
        <v>2856</v>
      </c>
    </row>
    <row r="74" spans="3:7" ht="12.75">
      <c r="C74" s="13" t="s">
        <v>425</v>
      </c>
      <c r="D74" s="14">
        <v>293</v>
      </c>
      <c r="E74" s="5">
        <v>293</v>
      </c>
      <c r="F74" s="5">
        <v>293</v>
      </c>
      <c r="G74" s="5">
        <v>293</v>
      </c>
    </row>
    <row r="75" spans="3:7" ht="12.75">
      <c r="C75" s="13" t="s">
        <v>426</v>
      </c>
      <c r="D75" s="14">
        <v>610</v>
      </c>
      <c r="E75" s="5">
        <v>1051</v>
      </c>
      <c r="F75" s="5">
        <v>610</v>
      </c>
      <c r="G75" s="5">
        <v>1051</v>
      </c>
    </row>
    <row r="76" spans="3:7" ht="12.75">
      <c r="C76" s="13" t="s">
        <v>427</v>
      </c>
      <c r="D76" s="14">
        <v>753</v>
      </c>
      <c r="E76" s="5">
        <v>753</v>
      </c>
      <c r="F76" s="5">
        <v>753</v>
      </c>
      <c r="G76" s="5">
        <v>753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93"/>
  <sheetViews>
    <sheetView zoomScale="85" zoomScaleNormal="85" workbookViewId="0" topLeftCell="A1">
      <selection activeCell="G34" sqref="G34"/>
    </sheetView>
  </sheetViews>
  <sheetFormatPr defaultColWidth="9.140625" defaultRowHeight="12.75"/>
  <cols>
    <col min="2" max="2" width="53.8515625" style="0" bestFit="1" customWidth="1"/>
    <col min="4" max="4" width="24.57421875" style="0" bestFit="1" customWidth="1"/>
    <col min="5" max="5" width="8.421875" style="0" bestFit="1" customWidth="1"/>
  </cols>
  <sheetData>
    <row r="2" ht="12.75">
      <c r="B2" s="15" t="s">
        <v>436</v>
      </c>
    </row>
    <row r="4" spans="2:17" ht="12.75">
      <c r="B4" s="13" t="s">
        <v>293</v>
      </c>
      <c r="C4" s="17">
        <v>158</v>
      </c>
      <c r="Q4" s="13" t="s">
        <v>246</v>
      </c>
    </row>
    <row r="5" spans="2:17" ht="12.75">
      <c r="B5" s="13" t="s">
        <v>295</v>
      </c>
      <c r="C5" s="17">
        <v>158</v>
      </c>
      <c r="Q5" s="13" t="s">
        <v>247</v>
      </c>
    </row>
    <row r="6" spans="2:17" ht="12.75">
      <c r="B6" s="13" t="s">
        <v>297</v>
      </c>
      <c r="C6" s="17">
        <v>158</v>
      </c>
      <c r="Q6" s="13" t="s">
        <v>248</v>
      </c>
    </row>
    <row r="7" spans="2:17" ht="12.75">
      <c r="B7" s="13" t="s">
        <v>299</v>
      </c>
      <c r="C7" s="17">
        <v>315</v>
      </c>
      <c r="Q7" s="13" t="s">
        <v>249</v>
      </c>
    </row>
    <row r="8" spans="2:17" ht="12.75">
      <c r="B8" s="13" t="s">
        <v>301</v>
      </c>
      <c r="C8" s="17">
        <v>268</v>
      </c>
      <c r="Q8" s="13" t="s">
        <v>250</v>
      </c>
    </row>
    <row r="9" spans="2:17" ht="12.75">
      <c r="B9" s="13" t="s">
        <v>165</v>
      </c>
      <c r="C9" s="17">
        <v>158</v>
      </c>
      <c r="Q9" s="13" t="s">
        <v>251</v>
      </c>
    </row>
    <row r="10" spans="2:17" ht="12.75">
      <c r="B10" s="13" t="s">
        <v>167</v>
      </c>
      <c r="C10" s="17">
        <v>369</v>
      </c>
      <c r="Q10" s="13" t="s">
        <v>252</v>
      </c>
    </row>
    <row r="11" spans="2:17" ht="12.75">
      <c r="B11" s="13" t="s">
        <v>169</v>
      </c>
      <c r="C11" s="17">
        <v>179</v>
      </c>
      <c r="Q11" s="13" t="s">
        <v>253</v>
      </c>
    </row>
    <row r="12" spans="2:17" ht="12.75">
      <c r="B12" s="13" t="s">
        <v>171</v>
      </c>
      <c r="C12" s="17">
        <v>230</v>
      </c>
      <c r="Q12" s="13" t="s">
        <v>254</v>
      </c>
    </row>
    <row r="13" spans="2:17" ht="12.75">
      <c r="B13" s="13" t="s">
        <v>173</v>
      </c>
      <c r="C13" s="17">
        <v>158</v>
      </c>
      <c r="Q13" s="13" t="s">
        <v>255</v>
      </c>
    </row>
    <row r="14" spans="2:17" ht="12.75">
      <c r="B14" s="13" t="s">
        <v>175</v>
      </c>
      <c r="C14" s="17">
        <v>314</v>
      </c>
      <c r="Q14" s="13" t="s">
        <v>256</v>
      </c>
    </row>
    <row r="15" spans="2:17" ht="12.75">
      <c r="B15" s="13" t="s">
        <v>177</v>
      </c>
      <c r="C15" s="17">
        <v>378</v>
      </c>
      <c r="Q15" s="13" t="s">
        <v>257</v>
      </c>
    </row>
    <row r="16" spans="2:17" ht="12.75">
      <c r="B16" s="13" t="s">
        <v>179</v>
      </c>
      <c r="C16" s="17">
        <v>230</v>
      </c>
      <c r="Q16" s="13" t="s">
        <v>258</v>
      </c>
    </row>
    <row r="17" spans="2:17" ht="12.75">
      <c r="B17" s="13" t="s">
        <v>181</v>
      </c>
      <c r="C17" s="17">
        <v>158</v>
      </c>
      <c r="Q17" s="13" t="s">
        <v>259</v>
      </c>
    </row>
    <row r="18" spans="2:17" ht="12.75">
      <c r="B18" s="13" t="s">
        <v>183</v>
      </c>
      <c r="C18" s="17">
        <v>378</v>
      </c>
      <c r="Q18" s="13" t="s">
        <v>260</v>
      </c>
    </row>
    <row r="19" spans="2:17" ht="12.75">
      <c r="B19" s="13" t="s">
        <v>185</v>
      </c>
      <c r="C19" s="17">
        <v>314</v>
      </c>
      <c r="Q19" s="13" t="s">
        <v>261</v>
      </c>
    </row>
    <row r="20" spans="2:17" ht="12.75">
      <c r="B20" s="13" t="s">
        <v>187</v>
      </c>
      <c r="C20" s="17">
        <v>378</v>
      </c>
      <c r="Q20" s="13" t="s">
        <v>262</v>
      </c>
    </row>
    <row r="21" spans="2:17" ht="12.75">
      <c r="B21" s="13" t="s">
        <v>189</v>
      </c>
      <c r="C21" s="17">
        <v>161</v>
      </c>
      <c r="Q21" s="13" t="s">
        <v>263</v>
      </c>
    </row>
    <row r="22" spans="2:17" ht="12.75">
      <c r="B22" s="13" t="s">
        <v>191</v>
      </c>
      <c r="C22" s="17">
        <v>268</v>
      </c>
      <c r="Q22" s="13" t="s">
        <v>264</v>
      </c>
    </row>
    <row r="23" spans="2:17" ht="12.75">
      <c r="B23" s="13" t="s">
        <v>193</v>
      </c>
      <c r="C23" s="17">
        <v>419</v>
      </c>
      <c r="Q23" s="13" t="s">
        <v>265</v>
      </c>
    </row>
    <row r="24" spans="2:17" ht="12.75">
      <c r="B24" s="13" t="s">
        <v>195</v>
      </c>
      <c r="C24" s="17">
        <v>378</v>
      </c>
      <c r="Q24" s="13" t="s">
        <v>266</v>
      </c>
    </row>
    <row r="25" spans="2:17" ht="12.75">
      <c r="B25" s="13" t="s">
        <v>197</v>
      </c>
      <c r="C25" s="17">
        <v>186</v>
      </c>
      <c r="Q25" s="13" t="s">
        <v>267</v>
      </c>
    </row>
    <row r="26" spans="2:17" ht="12.75">
      <c r="B26" s="13" t="s">
        <v>198</v>
      </c>
      <c r="C26" s="17">
        <v>158</v>
      </c>
      <c r="Q26" s="13" t="s">
        <v>268</v>
      </c>
    </row>
    <row r="27" spans="2:17" ht="12.75">
      <c r="B27" s="13" t="s">
        <v>200</v>
      </c>
      <c r="C27" s="17">
        <v>158</v>
      </c>
      <c r="Q27" s="13" t="s">
        <v>269</v>
      </c>
    </row>
    <row r="28" spans="2:17" ht="12.75">
      <c r="B28" s="13" t="s">
        <v>202</v>
      </c>
      <c r="C28" s="17">
        <v>158</v>
      </c>
      <c r="Q28" s="13" t="s">
        <v>270</v>
      </c>
    </row>
    <row r="29" spans="2:17" ht="12.75">
      <c r="B29" s="13" t="s">
        <v>204</v>
      </c>
      <c r="C29" s="17">
        <v>158</v>
      </c>
      <c r="Q29" s="13" t="s">
        <v>271</v>
      </c>
    </row>
    <row r="30" spans="2:17" ht="12.75">
      <c r="B30" s="13" t="s">
        <v>244</v>
      </c>
      <c r="C30" s="17">
        <v>184</v>
      </c>
      <c r="Q30" s="13" t="s">
        <v>272</v>
      </c>
    </row>
    <row r="31" spans="2:17" ht="12.75">
      <c r="B31" s="13" t="s">
        <v>206</v>
      </c>
      <c r="C31" s="17">
        <v>186</v>
      </c>
      <c r="Q31" s="13" t="s">
        <v>273</v>
      </c>
    </row>
    <row r="32" spans="2:17" ht="12.75">
      <c r="B32" s="13" t="s">
        <v>208</v>
      </c>
      <c r="C32" s="17">
        <v>158</v>
      </c>
      <c r="Q32" s="13" t="s">
        <v>274</v>
      </c>
    </row>
    <row r="33" spans="2:17" ht="12.75">
      <c r="B33" s="13" t="s">
        <v>210</v>
      </c>
      <c r="C33" s="17">
        <v>185</v>
      </c>
      <c r="Q33" s="18">
        <v>319</v>
      </c>
    </row>
    <row r="34" spans="2:17" ht="12.75">
      <c r="B34" s="13" t="s">
        <v>212</v>
      </c>
      <c r="C34" s="17">
        <v>158</v>
      </c>
      <c r="Q34" s="13" t="s">
        <v>275</v>
      </c>
    </row>
    <row r="35" spans="2:17" ht="12.75">
      <c r="B35" s="13" t="s">
        <v>214</v>
      </c>
      <c r="C35" s="17">
        <v>314</v>
      </c>
      <c r="Q35" s="13" t="s">
        <v>276</v>
      </c>
    </row>
    <row r="36" spans="2:17" ht="12.75">
      <c r="B36" s="13" t="s">
        <v>216</v>
      </c>
      <c r="C36" s="17">
        <v>315</v>
      </c>
      <c r="Q36" s="13" t="s">
        <v>277</v>
      </c>
    </row>
    <row r="37" spans="2:17" ht="12.75">
      <c r="B37" s="13" t="s">
        <v>218</v>
      </c>
      <c r="C37" s="17">
        <v>207</v>
      </c>
      <c r="Q37" s="13" t="s">
        <v>278</v>
      </c>
    </row>
    <row r="38" spans="2:17" ht="12.75">
      <c r="B38" s="13" t="s">
        <v>220</v>
      </c>
      <c r="C38" s="17">
        <v>334</v>
      </c>
      <c r="Q38" s="13" t="s">
        <v>279</v>
      </c>
    </row>
    <row r="39" spans="2:17" ht="12.75">
      <c r="B39" s="13" t="s">
        <v>222</v>
      </c>
      <c r="C39" s="17">
        <v>175</v>
      </c>
      <c r="Q39" s="13" t="s">
        <v>280</v>
      </c>
    </row>
    <row r="40" spans="2:17" ht="12.75">
      <c r="B40" s="13" t="s">
        <v>224</v>
      </c>
      <c r="C40" s="17">
        <v>334</v>
      </c>
      <c r="Q40" s="13" t="s">
        <v>281</v>
      </c>
    </row>
    <row r="41" spans="2:17" ht="12.75">
      <c r="B41" s="13" t="s">
        <v>226</v>
      </c>
      <c r="C41" s="17">
        <v>314</v>
      </c>
      <c r="Q41" s="13" t="s">
        <v>282</v>
      </c>
    </row>
    <row r="42" spans="2:17" ht="12.75">
      <c r="B42" s="13" t="s">
        <v>228</v>
      </c>
      <c r="C42" s="17">
        <v>425</v>
      </c>
      <c r="Q42" s="13" t="s">
        <v>283</v>
      </c>
    </row>
    <row r="43" spans="2:17" ht="12.75">
      <c r="B43" s="13" t="s">
        <v>230</v>
      </c>
      <c r="C43" s="17">
        <v>158</v>
      </c>
      <c r="Q43" s="13" t="s">
        <v>284</v>
      </c>
    </row>
    <row r="44" spans="2:17" ht="12.75">
      <c r="B44" s="13" t="s">
        <v>232</v>
      </c>
      <c r="C44" s="17">
        <v>158</v>
      </c>
      <c r="Q44" s="13" t="s">
        <v>285</v>
      </c>
    </row>
    <row r="45" spans="2:17" ht="12.75">
      <c r="B45" s="13" t="s">
        <v>234</v>
      </c>
      <c r="C45" s="17">
        <v>401</v>
      </c>
      <c r="Q45" s="13" t="s">
        <v>286</v>
      </c>
    </row>
    <row r="46" spans="2:17" ht="12.75">
      <c r="B46" s="13" t="s">
        <v>236</v>
      </c>
      <c r="C46" s="17">
        <v>378</v>
      </c>
      <c r="Q46" s="13" t="s">
        <v>287</v>
      </c>
    </row>
    <row r="47" spans="2:17" ht="12.75">
      <c r="B47" s="13" t="s">
        <v>238</v>
      </c>
      <c r="C47" s="17">
        <v>263</v>
      </c>
      <c r="Q47" s="13" t="s">
        <v>288</v>
      </c>
    </row>
    <row r="48" spans="2:17" ht="12.75">
      <c r="B48" s="13" t="s">
        <v>240</v>
      </c>
      <c r="C48" s="17">
        <v>425</v>
      </c>
      <c r="Q48" s="13" t="s">
        <v>289</v>
      </c>
    </row>
    <row r="49" spans="2:17" ht="12.75">
      <c r="B49" t="s">
        <v>294</v>
      </c>
      <c r="C49" s="17">
        <v>174</v>
      </c>
      <c r="Q49" s="13" t="s">
        <v>290</v>
      </c>
    </row>
    <row r="50" spans="2:17" ht="12.75">
      <c r="B50" t="s">
        <v>296</v>
      </c>
      <c r="C50" s="17">
        <v>258</v>
      </c>
      <c r="Q50" s="13" t="s">
        <v>291</v>
      </c>
    </row>
    <row r="51" spans="2:17" ht="12.75">
      <c r="B51" t="s">
        <v>298</v>
      </c>
      <c r="C51" s="17">
        <v>315</v>
      </c>
      <c r="Q51" s="13" t="s">
        <v>292</v>
      </c>
    </row>
    <row r="52" spans="2:3" ht="12.75">
      <c r="B52" t="s">
        <v>300</v>
      </c>
      <c r="C52" s="17">
        <v>258</v>
      </c>
    </row>
    <row r="53" spans="2:3" ht="12.75">
      <c r="B53" t="s">
        <v>302</v>
      </c>
      <c r="C53" s="17">
        <v>158</v>
      </c>
    </row>
    <row r="54" spans="2:3" ht="12.75">
      <c r="B54" t="s">
        <v>166</v>
      </c>
      <c r="C54" s="17">
        <v>419</v>
      </c>
    </row>
    <row r="55" spans="2:3" ht="12.75">
      <c r="B55" t="s">
        <v>168</v>
      </c>
      <c r="C55" s="17">
        <v>361</v>
      </c>
    </row>
    <row r="56" spans="2:3" ht="12.75">
      <c r="B56" t="s">
        <v>170</v>
      </c>
      <c r="C56" s="17">
        <v>412</v>
      </c>
    </row>
    <row r="57" spans="2:3" ht="12.75">
      <c r="B57" t="s">
        <v>172</v>
      </c>
      <c r="C57" s="17">
        <v>378</v>
      </c>
    </row>
    <row r="58" spans="2:3" ht="12.75">
      <c r="B58" t="s">
        <v>174</v>
      </c>
      <c r="C58" s="17">
        <v>158</v>
      </c>
    </row>
    <row r="59" spans="2:3" ht="12.75">
      <c r="B59" t="s">
        <v>176</v>
      </c>
      <c r="C59" s="17">
        <v>179</v>
      </c>
    </row>
    <row r="60" spans="2:3" ht="12.75">
      <c r="B60" t="s">
        <v>178</v>
      </c>
      <c r="C60" s="17">
        <v>158</v>
      </c>
    </row>
    <row r="61" spans="2:3" ht="12.75">
      <c r="B61" t="s">
        <v>180</v>
      </c>
      <c r="C61" s="17">
        <v>162</v>
      </c>
    </row>
    <row r="62" spans="2:3" ht="12.75">
      <c r="B62" t="s">
        <v>182</v>
      </c>
      <c r="C62" s="17">
        <v>158</v>
      </c>
    </row>
    <row r="63" spans="2:3" ht="12.75">
      <c r="B63" t="s">
        <v>184</v>
      </c>
      <c r="C63" s="17">
        <v>158</v>
      </c>
    </row>
    <row r="64" spans="2:3" ht="12.75">
      <c r="B64" t="s">
        <v>186</v>
      </c>
      <c r="C64" s="17">
        <v>165</v>
      </c>
    </row>
    <row r="65" spans="2:3" ht="12.75">
      <c r="B65" t="s">
        <v>188</v>
      </c>
      <c r="C65" s="17">
        <v>158</v>
      </c>
    </row>
    <row r="66" spans="2:3" ht="12.75">
      <c r="B66" t="s">
        <v>190</v>
      </c>
      <c r="C66" s="17">
        <v>334</v>
      </c>
    </row>
    <row r="67" spans="2:3" ht="12.75">
      <c r="B67" t="s">
        <v>192</v>
      </c>
      <c r="C67" s="17">
        <v>158</v>
      </c>
    </row>
    <row r="68" spans="2:3" ht="12.75">
      <c r="B68" t="s">
        <v>194</v>
      </c>
      <c r="C68" s="17">
        <v>158</v>
      </c>
    </row>
    <row r="69" spans="2:3" ht="12.75">
      <c r="B69" t="s">
        <v>196</v>
      </c>
      <c r="C69" s="17">
        <v>378</v>
      </c>
    </row>
    <row r="70" spans="2:3" ht="12.75">
      <c r="B70" t="s">
        <v>199</v>
      </c>
      <c r="C70" s="17">
        <v>158</v>
      </c>
    </row>
    <row r="71" spans="2:3" ht="12.75">
      <c r="B71" t="s">
        <v>201</v>
      </c>
      <c r="C71" s="17">
        <v>308</v>
      </c>
    </row>
    <row r="72" spans="2:3" ht="12.75">
      <c r="B72" t="s">
        <v>203</v>
      </c>
      <c r="C72" s="17">
        <v>158</v>
      </c>
    </row>
    <row r="73" spans="2:3" ht="12.75">
      <c r="B73" t="s">
        <v>205</v>
      </c>
      <c r="C73" s="17">
        <v>158</v>
      </c>
    </row>
    <row r="74" spans="2:3" ht="12.75">
      <c r="B74" s="13" t="s">
        <v>241</v>
      </c>
      <c r="C74" s="17">
        <v>230</v>
      </c>
    </row>
    <row r="75" spans="2:3" ht="12.75">
      <c r="B75" t="s">
        <v>242</v>
      </c>
      <c r="C75" s="17">
        <v>248</v>
      </c>
    </row>
    <row r="76" spans="2:3" ht="12.75">
      <c r="B76" t="s">
        <v>243</v>
      </c>
      <c r="C76" s="18">
        <v>319</v>
      </c>
    </row>
    <row r="77" spans="2:3" ht="12.75">
      <c r="B77" t="s">
        <v>207</v>
      </c>
      <c r="C77" s="17">
        <v>419</v>
      </c>
    </row>
    <row r="78" spans="2:3" ht="12.75">
      <c r="B78" t="s">
        <v>209</v>
      </c>
      <c r="C78" s="17">
        <v>378</v>
      </c>
    </row>
    <row r="79" spans="2:3" ht="12.75">
      <c r="B79" t="s">
        <v>211</v>
      </c>
      <c r="C79" s="17">
        <v>314</v>
      </c>
    </row>
    <row r="80" spans="2:3" ht="12.75">
      <c r="B80" t="s">
        <v>213</v>
      </c>
      <c r="C80" s="17">
        <v>314</v>
      </c>
    </row>
    <row r="81" spans="2:3" ht="12.75">
      <c r="B81" t="s">
        <v>215</v>
      </c>
      <c r="C81" s="17">
        <v>165</v>
      </c>
    </row>
    <row r="82" spans="2:3" ht="12.75">
      <c r="B82" t="s">
        <v>217</v>
      </c>
      <c r="C82" s="17">
        <v>494</v>
      </c>
    </row>
    <row r="83" spans="2:3" ht="12.75">
      <c r="B83" t="s">
        <v>219</v>
      </c>
      <c r="C83" s="17">
        <v>511</v>
      </c>
    </row>
    <row r="84" spans="2:3" ht="12.75">
      <c r="B84" t="s">
        <v>221</v>
      </c>
      <c r="C84" s="17">
        <v>158</v>
      </c>
    </row>
    <row r="85" spans="2:3" ht="12.75">
      <c r="B85" t="s">
        <v>223</v>
      </c>
      <c r="C85" s="17">
        <v>158</v>
      </c>
    </row>
    <row r="86" spans="2:3" ht="12.75">
      <c r="B86" t="s">
        <v>225</v>
      </c>
      <c r="C86" s="17">
        <v>158</v>
      </c>
    </row>
    <row r="87" spans="2:3" ht="12.75">
      <c r="B87" t="s">
        <v>227</v>
      </c>
      <c r="C87" s="17">
        <v>230</v>
      </c>
    </row>
    <row r="88" spans="2:3" ht="12.75">
      <c r="B88" t="s">
        <v>229</v>
      </c>
      <c r="C88" s="17">
        <v>158</v>
      </c>
    </row>
    <row r="89" spans="2:3" ht="12.75">
      <c r="B89" t="s">
        <v>231</v>
      </c>
      <c r="C89" s="17">
        <v>686</v>
      </c>
    </row>
    <row r="90" spans="2:3" ht="12.75">
      <c r="B90" t="s">
        <v>233</v>
      </c>
      <c r="C90" s="17">
        <v>158</v>
      </c>
    </row>
    <row r="91" spans="2:3" ht="12.75">
      <c r="B91" t="s">
        <v>235</v>
      </c>
      <c r="C91" s="17">
        <v>158</v>
      </c>
    </row>
    <row r="92" spans="2:3" ht="12.75">
      <c r="B92" t="s">
        <v>237</v>
      </c>
      <c r="C92" s="17">
        <v>314</v>
      </c>
    </row>
    <row r="93" spans="2:3" ht="12.75">
      <c r="B93" t="s">
        <v>239</v>
      </c>
      <c r="C93" s="17">
        <v>334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Quorum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 Poirier</dc:creator>
  <cp:keywords/>
  <dc:description/>
  <cp:lastModifiedBy>Milt Poirier</cp:lastModifiedBy>
  <cp:lastPrinted>2006-03-03T17:26:08Z</cp:lastPrinted>
  <dcterms:created xsi:type="dcterms:W3CDTF">2006-02-28T23:13:42Z</dcterms:created>
  <dcterms:modified xsi:type="dcterms:W3CDTF">2006-03-05T21:07:03Z</dcterms:modified>
  <cp:category/>
  <cp:version/>
  <cp:contentType/>
  <cp:contentStatus/>
</cp:coreProperties>
</file>