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662" activeTab="0"/>
  </bookViews>
  <sheets>
    <sheet name="Intro and  Documentation" sheetId="1" r:id="rId1"/>
    <sheet name="Service Assumptions" sheetId="2" r:id="rId2"/>
    <sheet name="Classes of Service." sheetId="3" r:id="rId3"/>
    <sheet name="Stations" sheetId="4" r:id="rId4"/>
    <sheet name="Tariff" sheetId="5" r:id="rId5"/>
    <sheet name="Revenue - Summer" sheetId="6" r:id="rId6"/>
    <sheet name="Revenue - Winter" sheetId="7" r:id="rId7"/>
    <sheet name="Revenue - Private Rail" sheetId="8" r:id="rId8"/>
    <sheet name="Revenue Summary" sheetId="9" r:id="rId9"/>
    <sheet name="Ramp Up" sheetId="10" r:id="rId10"/>
    <sheet name="Growth Scenarios" sheetId="11" r:id="rId11"/>
  </sheets>
  <definedNames/>
  <calcPr fullCalcOnLoad="1"/>
</workbook>
</file>

<file path=xl/sharedStrings.xml><?xml version="1.0" encoding="utf-8"?>
<sst xmlns="http://schemas.openxmlformats.org/spreadsheetml/2006/main" count="747" uniqueCount="327">
  <si>
    <t>Assumptions</t>
  </si>
  <si>
    <t>Low Case</t>
  </si>
  <si>
    <t>Types of Service</t>
  </si>
  <si>
    <t>Months of Operation</t>
  </si>
  <si>
    <t>Frequency of Service</t>
  </si>
  <si>
    <t>High Case</t>
  </si>
  <si>
    <t>Dates of Operation</t>
  </si>
  <si>
    <t>2. Private Rail Cars - Self Propelled - Number of trains each direction per week</t>
  </si>
  <si>
    <t>Low</t>
  </si>
  <si>
    <t>High</t>
  </si>
  <si>
    <t>Train Capacity - Per Train</t>
  </si>
  <si>
    <t>Motor rail - # of vehicles</t>
  </si>
  <si>
    <t>Class 1 - Sleeper car w/private facilities</t>
  </si>
  <si>
    <t>Class 2 - Sleeper car w/shared facilities</t>
  </si>
  <si>
    <t>Class 3 - Sleeper seat w/shared facilities</t>
  </si>
  <si>
    <t>Route Mileage</t>
  </si>
  <si>
    <t>Miles</t>
  </si>
  <si>
    <t>Vancouver to Prince George</t>
  </si>
  <si>
    <t>Watson Lake to Carmacks</t>
  </si>
  <si>
    <t>Carmacks to AK Border at Ladue River</t>
  </si>
  <si>
    <t>Total Mileage</t>
  </si>
  <si>
    <t>Scheduled Stops</t>
  </si>
  <si>
    <t>Watson Lake</t>
  </si>
  <si>
    <t>Duration (Hours)</t>
  </si>
  <si>
    <t>TOTAL HOURS Stops</t>
  </si>
  <si>
    <t>June 1-Aug 31</t>
  </si>
  <si>
    <t>Total Running Time</t>
  </si>
  <si>
    <t>TOTAL TIME</t>
  </si>
  <si>
    <t>TOTAL DAYS from Prince George</t>
  </si>
  <si>
    <t>TOTAL DAYS from Vancouver</t>
  </si>
  <si>
    <t>Average Running Time</t>
  </si>
  <si>
    <t>Per Diem</t>
  </si>
  <si>
    <t>Motorrail</t>
  </si>
  <si>
    <t>Class 3 per seat</t>
  </si>
  <si>
    <t>Class 1 (pp double occupancy)</t>
  </si>
  <si>
    <t>Class 2 (pp double occupancy)</t>
  </si>
  <si>
    <t>Private Rail Track Use</t>
  </si>
  <si>
    <t>Tariff - Shoulder Season - May and September</t>
  </si>
  <si>
    <t>Tariff - Peak Season - June-August</t>
  </si>
  <si>
    <t>* Two fare types - shoulder season and peak season</t>
  </si>
  <si>
    <t>* Three scenarios - low, base, high</t>
  </si>
  <si>
    <t>Shoulder Season</t>
  </si>
  <si>
    <t>Peak Season</t>
  </si>
  <si>
    <t>Train Capacity</t>
  </si>
  <si>
    <t>Occupancy (% of total capacity)</t>
  </si>
  <si>
    <t>Total Capacity</t>
  </si>
  <si>
    <t>Stops - Total Hours</t>
  </si>
  <si>
    <t>Total Number Trains per Season</t>
  </si>
  <si>
    <t>Total Trains</t>
  </si>
  <si>
    <t>Revenue Passengers</t>
  </si>
  <si>
    <t>Total Revenue Passengers</t>
  </si>
  <si>
    <t>Train Capacity (passengers)</t>
  </si>
  <si>
    <t>Adult</t>
  </si>
  <si>
    <t>Class 1</t>
  </si>
  <si>
    <t>Class 2</t>
  </si>
  <si>
    <t>Class 3</t>
  </si>
  <si>
    <t>Child</t>
  </si>
  <si>
    <t>Gift Shop ($10/guest)</t>
  </si>
  <si>
    <t>Total Other Revenue</t>
  </si>
  <si>
    <t>Adult (90% of total pax)</t>
  </si>
  <si>
    <t>Child (10% of total pax)</t>
  </si>
  <si>
    <t>Child/Student</t>
  </si>
  <si>
    <t>Percent Adult/Child</t>
  </si>
  <si>
    <t>Trip Length (# of Days)</t>
  </si>
  <si>
    <t>Revenue</t>
  </si>
  <si>
    <t>Other Revenue Sources</t>
  </si>
  <si>
    <t>Total Shoulder Season Revenue</t>
  </si>
  <si>
    <t>Total Peak Season Revenue</t>
  </si>
  <si>
    <t>Total Vehicles</t>
  </si>
  <si>
    <t xml:space="preserve">Revenue Vehicles </t>
  </si>
  <si>
    <t>Passenger Revenue</t>
  </si>
  <si>
    <t>Vehicle Revenue</t>
  </si>
  <si>
    <t>TOTAL ALL REVENUE</t>
  </si>
  <si>
    <t>Train Capacity (Vehicles)</t>
  </si>
  <si>
    <t>Trip Length - (mileage)</t>
  </si>
  <si>
    <t>Track Revenue</t>
  </si>
  <si>
    <t>TOTAL TRACK REVENUE</t>
  </si>
  <si>
    <t>Sleeper Cars with private facilities</t>
  </si>
  <si>
    <t>Dining Cars  - 2 seatings</t>
  </si>
  <si>
    <t xml:space="preserve">Sleeper Cars with shared facilities </t>
  </si>
  <si>
    <t>Sleeper Seats</t>
  </si>
  <si>
    <t>Dining Cars - share with Class 2</t>
  </si>
  <si>
    <t>Observation/Library/Lounge</t>
  </si>
  <si>
    <t>Bar/Cafe/Lounge Car</t>
  </si>
  <si>
    <t>Baggage Cars</t>
  </si>
  <si>
    <t>Route</t>
  </si>
  <si>
    <t>Van-Fai-Van</t>
  </si>
  <si>
    <t>3. Private Self-Propelled Rail - # of Cars</t>
  </si>
  <si>
    <t>Bi-Level Cars</t>
  </si>
  <si>
    <t>Bi-Level Car Capacity</t>
  </si>
  <si>
    <t>Vans, Pick-up Trucks, SUVs</t>
  </si>
  <si>
    <t xml:space="preserve">Autos </t>
  </si>
  <si>
    <t>Tri-Level Car Capacity</t>
  </si>
  <si>
    <t>Tri-Level Cars</t>
  </si>
  <si>
    <t>TOTAL TRAIN CARS</t>
  </si>
  <si>
    <t>Automobile</t>
  </si>
  <si>
    <t>Van/SUV/Pickup Truck</t>
  </si>
  <si>
    <t>Motorcycle</t>
  </si>
  <si>
    <t>Motorrail (price per mile)</t>
  </si>
  <si>
    <t>Trip Length (Average Mileage)</t>
  </si>
  <si>
    <t>Vehicle Revenue - Shoulder Season</t>
  </si>
  <si>
    <t>Vehicle Revenue - Peak Season</t>
  </si>
  <si>
    <t>TOTAL PASSENGER REVENUE</t>
  </si>
  <si>
    <t>TOTAL VEHICLE  REVENUE</t>
  </si>
  <si>
    <t>Tariff - Private Rail Cars</t>
  </si>
  <si>
    <t>Train Cars for Vehicles</t>
  </si>
  <si>
    <t>Passenger Capacity</t>
  </si>
  <si>
    <t>Vehicle Capacity</t>
  </si>
  <si>
    <t>Total Passenger Capacity</t>
  </si>
  <si>
    <t>Origin</t>
  </si>
  <si>
    <t>Destination</t>
  </si>
  <si>
    <t>Total Vehicle Capacity</t>
  </si>
  <si>
    <t>3. Private Rail Cars - Self Propelled - Operated by cruise/tour company</t>
  </si>
  <si>
    <t>Vancouver</t>
  </si>
  <si>
    <t>Fairbanks</t>
  </si>
  <si>
    <t>Whitehorse</t>
  </si>
  <si>
    <t>Prince George</t>
  </si>
  <si>
    <t>Peak Sesson (13 weeks X 2)</t>
  </si>
  <si>
    <t>Shoulder Season (5 weeks X 2)</t>
  </si>
  <si>
    <t>May 15-31, Sept 1-15</t>
  </si>
  <si>
    <t>TOTAL REVENUE</t>
  </si>
  <si>
    <t>Adults</t>
  </si>
  <si>
    <t>Children</t>
  </si>
  <si>
    <t>1. Scheduled SUMMER Service - Number of trains each direction per week</t>
  </si>
  <si>
    <t>2.  Scheduled WINTER Service - Number of trains each direction per week</t>
  </si>
  <si>
    <t>1. Scheduled SUMMER service</t>
  </si>
  <si>
    <t>2.  Scheduled WINTER Service</t>
  </si>
  <si>
    <t>Revenue Forecast - Scheduled SUMMER Service - May 15 - September 15</t>
  </si>
  <si>
    <t>Revenue Forecast - Cruise/Tour Company Private Rail With Own Cars - May 15 - September 15</t>
  </si>
  <si>
    <t>1. Scheduled SUMMER Service - Total Pax</t>
  </si>
  <si>
    <t>2. Scheduled WINTER Service - Total Pax</t>
  </si>
  <si>
    <t>1. Scheduled SUMMER Service - # of Pax</t>
  </si>
  <si>
    <t>2. Scheduled WINTER Service - # of Pax</t>
  </si>
  <si>
    <t>Low Case       Bi-Level Cars</t>
  </si>
  <si>
    <t>Base Case     Bi-Level Cars</t>
  </si>
  <si>
    <t>High Case      Bi-Level Cars</t>
  </si>
  <si>
    <t>Train Capacity (Total for 34 weeks)</t>
  </si>
  <si>
    <t>Avg. Speed - 35 MPH</t>
  </si>
  <si>
    <t>Trip Length (Avg. Mileage)</t>
  </si>
  <si>
    <t>Tariff - SUMMER Service</t>
  </si>
  <si>
    <t>Tariff - WINTER Service</t>
  </si>
  <si>
    <t xml:space="preserve">Tariff - WINTER Service </t>
  </si>
  <si>
    <t>On-Board Services</t>
  </si>
  <si>
    <t>Accommodations</t>
  </si>
  <si>
    <t>Upright seat</t>
  </si>
  <si>
    <t>Toilet &amp; shower in cabin</t>
  </si>
  <si>
    <t>Twin sleeper berth - 2 lower</t>
  </si>
  <si>
    <t>Wash basin in cabin</t>
  </si>
  <si>
    <t>Food &amp; Beverage</t>
  </si>
  <si>
    <t>Meals included in fare, restaurant car dining</t>
  </si>
  <si>
    <t>Beverages available for purchase</t>
  </si>
  <si>
    <t>Tea &amp; coffee complimentary</t>
  </si>
  <si>
    <t>Facilities</t>
  </si>
  <si>
    <t>Class 1 Lounge Car</t>
  </si>
  <si>
    <t>Class 1 Restaurant Car</t>
  </si>
  <si>
    <t>Twin sleeper - upper/lower</t>
  </si>
  <si>
    <t>Lounge car shared with Class 3</t>
  </si>
  <si>
    <t>Restaurant car shared with Class 3</t>
  </si>
  <si>
    <t>Toilet and shower at end of car</t>
  </si>
  <si>
    <t>Toilet &amp; shower at end of car</t>
  </si>
  <si>
    <t>Snacks/meals available for purchase</t>
  </si>
  <si>
    <t>Lounge car shared with Class 2</t>
  </si>
  <si>
    <t>Restaurant car shared with Class 2</t>
  </si>
  <si>
    <t>Lounge ($5 per day/guest)</t>
  </si>
  <si>
    <t>Meals ($30 per day/Class 2&amp;3 guest)</t>
  </si>
  <si>
    <t>Total Number Trains (34 Weeks)</t>
  </si>
  <si>
    <t xml:space="preserve">Passenger Fare Revenue </t>
  </si>
  <si>
    <t>Total Passenger Fare Revenue</t>
  </si>
  <si>
    <t>Passenger Fare Revenue - Shoulder Season</t>
  </si>
  <si>
    <t>Passenger Fare Revenue - Peak Season</t>
  </si>
  <si>
    <t>Meals ($35 per day/Class 2&amp;3 guest)</t>
  </si>
  <si>
    <t>Summer Service</t>
  </si>
  <si>
    <t>Winter Service</t>
  </si>
  <si>
    <t>Private Rail</t>
  </si>
  <si>
    <t>TOTAL ANNUAL REVENUE</t>
  </si>
  <si>
    <t>Option #1</t>
  </si>
  <si>
    <t>Option #2</t>
  </si>
  <si>
    <t>Train Capacity - WINTER Service</t>
  </si>
  <si>
    <t>Train Configuration - WINTER Service</t>
  </si>
  <si>
    <t>Train Configuration - SUMMER Service</t>
  </si>
  <si>
    <t>May 15-Sept 15</t>
  </si>
  <si>
    <t>Sept 16-May 14</t>
  </si>
  <si>
    <t>Passenger Distribution - SUMMER</t>
  </si>
  <si>
    <t>(reclines for sleeping)</t>
  </si>
  <si>
    <t>Amenities</t>
  </si>
  <si>
    <t>Newsletters/Onboard Magazine</t>
  </si>
  <si>
    <t>Certificate of journey completion</t>
  </si>
  <si>
    <t>Interpretive sessions/onboard commentary</t>
  </si>
  <si>
    <t>Special reception/activities</t>
  </si>
  <si>
    <t>Onboard magazine</t>
  </si>
  <si>
    <t>Onboard commentary</t>
  </si>
  <si>
    <t>TARIFF</t>
  </si>
  <si>
    <t>CLASSES OF SERVICE</t>
  </si>
  <si>
    <t>SERVICE ASSUMPTIONS</t>
  </si>
  <si>
    <t>Charge per passenger</t>
  </si>
  <si>
    <t>NUMBER OF LOCOMOTIVES</t>
  </si>
  <si>
    <t>May 15- May 31</t>
  </si>
  <si>
    <t>Sept 1 - 15</t>
  </si>
  <si>
    <t>Passengers</t>
  </si>
  <si>
    <t>May 15-31</t>
  </si>
  <si>
    <t>Sept 1-15</t>
  </si>
  <si>
    <t>3.  Private Self-Propelled Rail - # of trains/week</t>
  </si>
  <si>
    <t>RAMP UP PERIOD</t>
  </si>
  <si>
    <t>GROWTH SCENARIOS</t>
  </si>
  <si>
    <t>Year 1</t>
  </si>
  <si>
    <t>Year 2</t>
  </si>
  <si>
    <t>Year 3</t>
  </si>
  <si>
    <t>Year 4</t>
  </si>
  <si>
    <t>Year 5</t>
  </si>
  <si>
    <t xml:space="preserve">Low </t>
  </si>
  <si>
    <t xml:space="preserve">High </t>
  </si>
  <si>
    <t>LOW CASE</t>
  </si>
  <si>
    <t>HIGH CASE</t>
  </si>
  <si>
    <t>REVENUE</t>
  </si>
  <si>
    <t>TOTAL Low Case</t>
  </si>
  <si>
    <t>TOTAL High Case</t>
  </si>
  <si>
    <t>Tour company self-propelled (# of trains per week each direction)</t>
  </si>
  <si>
    <t>LOCATIONS OF STATIONS</t>
  </si>
  <si>
    <t>Tok</t>
  </si>
  <si>
    <t>Delta Junction</t>
  </si>
  <si>
    <t>Carmacks</t>
  </si>
  <si>
    <t>Beaver Creek</t>
  </si>
  <si>
    <t>Dease Lake</t>
  </si>
  <si>
    <t>Prince George*</t>
  </si>
  <si>
    <t>Fairbanks*</t>
  </si>
  <si>
    <t>*Stations need facilities to stage and load vehicles.</t>
  </si>
  <si>
    <t>Prince George to Hazelton</t>
  </si>
  <si>
    <t>Hazelton to Watson Lake</t>
  </si>
  <si>
    <t>Carmacks to AK Border at BC</t>
  </si>
  <si>
    <t>BC to Delta Jct</t>
  </si>
  <si>
    <t>AK Border (LR) to Delta Jct</t>
  </si>
  <si>
    <t>Delta Jct to Fairbanks</t>
  </si>
  <si>
    <t>Hazelton</t>
  </si>
  <si>
    <t>Alaska Border</t>
  </si>
  <si>
    <t>Other stops (Dease Lake, Delta Jct., etc.)</t>
  </si>
  <si>
    <t>Avg. Run Time (Hours)</t>
  </si>
  <si>
    <t>Average Speed (mph)</t>
  </si>
  <si>
    <t>Total Running Time (hours)</t>
  </si>
  <si>
    <t>Avg. Speed - 36.1 MPH</t>
  </si>
  <si>
    <t xml:space="preserve">Average </t>
  </si>
  <si>
    <t>Average Speed (Mgmt. Strategy 1)</t>
  </si>
  <si>
    <t>Whitehorse to Carmacks</t>
  </si>
  <si>
    <t>Skagway to Whitehorse</t>
  </si>
  <si>
    <t>Ross River?</t>
  </si>
  <si>
    <t>Route 1 (Beaver Creek)</t>
  </si>
  <si>
    <t>Route 2 (Ladue River)</t>
  </si>
  <si>
    <t>Route Variations - Scheduled Rail</t>
  </si>
  <si>
    <t>Route Variations - Private Rail</t>
  </si>
  <si>
    <t>1. Whitehorse, Carmacks, AK Border (BC), Fairbanks</t>
  </si>
  <si>
    <t>2. Whitehorse, Carmacks, AK Border (LR), Fairbanks</t>
  </si>
  <si>
    <t>Charge per mile*</t>
  </si>
  <si>
    <t>*Placeholder - Final fees for private rail use to be determined.</t>
  </si>
  <si>
    <t xml:space="preserve">Running Time - hours </t>
  </si>
  <si>
    <t>Whitehorse/Carmacks/Fairbanks/Carmacks/Whitehorse</t>
  </si>
  <si>
    <t>Prince George/Fairbanks/Prince George</t>
  </si>
  <si>
    <t>Vancouver/Fairbanks/Vancouver</t>
  </si>
  <si>
    <t>Van/Fai/Van</t>
  </si>
  <si>
    <t>PG/Fai/PG</t>
  </si>
  <si>
    <t>WH/Fai/WH</t>
  </si>
  <si>
    <t>PG/FaiPG</t>
  </si>
  <si>
    <t>WH/FaiWH</t>
  </si>
  <si>
    <t>Whitehorse/Fairbanks/Whitehorse</t>
  </si>
  <si>
    <t>Total Passenger Fares</t>
  </si>
  <si>
    <t>Total Revenue</t>
  </si>
  <si>
    <t>Assumptions (Percent of Base Year)</t>
  </si>
  <si>
    <t>Mid</t>
  </si>
  <si>
    <t>MID CASE</t>
  </si>
  <si>
    <t>Mid Case</t>
  </si>
  <si>
    <t>Passenger and Vehicle Volume</t>
  </si>
  <si>
    <t>Fares</t>
  </si>
  <si>
    <t>MIDCASE</t>
  </si>
  <si>
    <t>TOTAL Mid Case</t>
  </si>
  <si>
    <t>Year 7</t>
  </si>
  <si>
    <t>Year 8</t>
  </si>
  <si>
    <t>Year 9</t>
  </si>
  <si>
    <t>Year 10</t>
  </si>
  <si>
    <t>Ramp-up Period - Years 1-5</t>
  </si>
  <si>
    <t>Ramp-up Period - Years 1-5 - no fare changes</t>
  </si>
  <si>
    <t>Year 6</t>
  </si>
  <si>
    <t>Ramp-up Period - Years 1-3</t>
  </si>
  <si>
    <t>Ramp-up Period - Years 1-3 - no fare changes</t>
  </si>
  <si>
    <t xml:space="preserve">Passenger and Vehicle </t>
  </si>
  <si>
    <t>Passenger and Vehicle</t>
  </si>
  <si>
    <t>Total Passenger Revenue</t>
  </si>
  <si>
    <t>Total Number of Passengers</t>
  </si>
  <si>
    <t>Average Passenger Revenue</t>
  </si>
  <si>
    <t>Percent Growth Rate</t>
  </si>
  <si>
    <t>Annual Avg. Growth Years 11 and beyond</t>
  </si>
  <si>
    <t>PERCENT GROWTH ASSUMPTIONS</t>
  </si>
  <si>
    <t>REVENUE SUMMARY - BASE YEAR</t>
  </si>
  <si>
    <t>BASE YEAR</t>
  </si>
  <si>
    <t xml:space="preserve">BASE YEAR </t>
  </si>
  <si>
    <t>TAB DOCUMENTATION</t>
  </si>
  <si>
    <t>Tab Name</t>
  </si>
  <si>
    <t>Description</t>
  </si>
  <si>
    <t>Includes types of service, seasonality of service, frequency of schedules, route mileage, scheduled stops, total and average running times, train capacity and configuration.  Variables used in formulas on the revenue worksheets include train capacity, passenger distribution, frequency of service, route mileage, and total running time.  These variables can be manipulated to test different assumptions.</t>
  </si>
  <si>
    <t>Classes of Service</t>
  </si>
  <si>
    <t>Classes of service are described in this tab.</t>
  </si>
  <si>
    <t>Stations</t>
  </si>
  <si>
    <t>Proposed station locations are included in this tab.</t>
  </si>
  <si>
    <t>Tariff</t>
  </si>
  <si>
    <t>Tariff for passenger fares, motorrail fares, and private track use are found in this tab.  Passenger and motorrail fares are based on an analysis of similar services and are based on per diems.  Track use rates are on a per mile basis.  All tariffs are linked in the revenue worksheets.  Tariff rates can be adjusted to test other tariff assumptions.</t>
  </si>
  <si>
    <t>Revenue - Summer</t>
  </si>
  <si>
    <t>This tab projects summer revenue for a base year of operation.  Tab includes base assumptions to calculate passenger and motorrail revenues.  Base assumptions include train capacity, number of trains per season, occupancy, adult/child percent, number of revenue passengers, trip length in days, number of vehicles.  Base assumptions are linked to Service Assumptions. Revenue formulas are linked to the base assumptions, plus the Tariff assumptions.</t>
  </si>
  <si>
    <t>Revenue - Winter</t>
  </si>
  <si>
    <t>This tab projects winter revenue for a base year of operation.  Tab includes base assumptions to calculate passenger and motorrail revenues.  Base assumptions include train capacity, number of trains per season, occupancy, adult/child percent, number of revenue passengers, trip length in days, number of vehicles.  Base assumptions are linked to Service Assumptions. Revenue formulas are linked to the base assumptions, plus the Tariff assumptions.</t>
  </si>
  <si>
    <t>Revenue - Private Rail</t>
  </si>
  <si>
    <t>This tab projects revenue generated from private rail operations operated by a tour company seasonally. Tab includes base assumptions to calculate private rail revenues.  Base assumptions include train capacity, number of trains per season, trip length in miles.  Base assumptions are linked to Service Assumptions. Revenue formulas are linked to the base assumptions, plus the Tariff assumptions.</t>
  </si>
  <si>
    <t>Revenue Summary</t>
  </si>
  <si>
    <t>This tab links to the Revenue tabs and summarizes the three types of service revenues.</t>
  </si>
  <si>
    <t>Ramp Up</t>
  </si>
  <si>
    <t>The passenger operation will ramp up over a period of years to the Base year projections.  This tab projects the ramp up period for each type of service - summer, winter or private rail.</t>
  </si>
  <si>
    <t>Growth Scenarios</t>
  </si>
  <si>
    <t>Service Assumptions - Management Strategy #1</t>
  </si>
  <si>
    <t>INTRODUCTION</t>
  </si>
  <si>
    <t>Welcome to the Alaska Canada Rail Link Passenger Revenue Model</t>
  </si>
  <si>
    <t>This model provides the operating and traffic assumptions for the analysis of potential revenue generated by a passenger rail service.  Various Service Assumptions and Tariff Assumptions can be manipulated to test the effect of different operating and pricing scenarios.</t>
  </si>
  <si>
    <t>Alaska Canada Rail Link - Passenger Service - Management Strategy #2</t>
  </si>
  <si>
    <t>PG-Fai-PG</t>
  </si>
  <si>
    <t>WH-Fai-WH</t>
  </si>
  <si>
    <t>1. PG to Hazelton, Watson Lake, Carmacks, AK Border (Beaver Creek), Fairbanks</t>
  </si>
  <si>
    <t>2. PG to Hazelton, Watson Lake, Carmacks, AK Border (Ladue River), Fairbanks</t>
  </si>
  <si>
    <t>Complimentary toiletries</t>
  </si>
  <si>
    <t>Revenue Forecast - WINTER Service - September 16 to May 14</t>
  </si>
  <si>
    <t xml:space="preserve">This tab provides three growth scenarios and projects growth for the first 10 years plus a growth factor for additional years.  </t>
  </si>
  <si>
    <t>Train Capacity (Passengers)</t>
  </si>
  <si>
    <t>Alaska Canada Rail Link - Passenger Service - Management Strategy #2 (Max. track speed for passengers - 80 mph)</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</si>
</sst>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0_);[Red]\(&quot;$&quot;#,##0.0\)"/>
    <numFmt numFmtId="167" formatCode="&quot;$&quot;#,##0.00"/>
    <numFmt numFmtId="168" formatCode="&quot;$&quot;#,##0"/>
    <numFmt numFmtId="169" formatCode="#,##0.0"/>
    <numFmt numFmtId="170" formatCode="&quot;$&quot;#,##0.0"/>
    <numFmt numFmtId="171" formatCode="&quot;$&quot;#,##0.000"/>
  </numFmts>
  <fonts count="19">
    <font>
      <sz val="10"/>
      <name val="Arial"/>
      <family val="0"/>
    </font>
    <font>
      <sz val="9"/>
      <name val="Arial"/>
      <family val="0"/>
    </font>
    <font>
      <b/>
      <sz val="9"/>
      <name val="Arial"/>
      <family val="2"/>
    </font>
    <font>
      <b/>
      <sz val="10"/>
      <name val="Arial"/>
      <family val="2"/>
    </font>
    <font>
      <b/>
      <sz val="12"/>
      <name val="Arial"/>
      <family val="2"/>
    </font>
    <font>
      <sz val="8"/>
      <name val="Arial"/>
      <family val="0"/>
    </font>
    <font>
      <b/>
      <u val="single"/>
      <sz val="12"/>
      <name val="Arial"/>
      <family val="2"/>
    </font>
    <font>
      <b/>
      <i/>
      <sz val="9"/>
      <name val="Arial"/>
      <family val="2"/>
    </font>
    <font>
      <b/>
      <sz val="8"/>
      <name val="Arial"/>
      <family val="2"/>
    </font>
    <font>
      <b/>
      <sz val="9"/>
      <color indexed="18"/>
      <name val="Arial"/>
      <family val="2"/>
    </font>
    <font>
      <b/>
      <sz val="9"/>
      <color indexed="56"/>
      <name val="Arial"/>
      <family val="2"/>
    </font>
    <font>
      <i/>
      <sz val="9"/>
      <name val="Arial"/>
      <family val="2"/>
    </font>
    <font>
      <b/>
      <u val="single"/>
      <sz val="10"/>
      <name val="Arial"/>
      <family val="2"/>
    </font>
    <font>
      <sz val="12"/>
      <name val="Arial"/>
      <family val="2"/>
    </font>
    <font>
      <b/>
      <u val="single"/>
      <sz val="9"/>
      <name val="Arial"/>
      <family val="2"/>
    </font>
    <font>
      <b/>
      <i/>
      <sz val="10"/>
      <name val="Arial"/>
      <family val="2"/>
    </font>
    <font>
      <b/>
      <sz val="9"/>
      <color indexed="9"/>
      <name val="Arial"/>
      <family val="2"/>
    </font>
    <font>
      <u val="single"/>
      <sz val="10"/>
      <color indexed="12"/>
      <name val="Arial"/>
      <family val="0"/>
    </font>
    <font>
      <u val="single"/>
      <sz val="10"/>
      <color indexed="36"/>
      <name val="Arial"/>
      <family val="0"/>
    </font>
  </fonts>
  <fills count="9">
    <fill>
      <patternFill/>
    </fill>
    <fill>
      <patternFill patternType="gray125"/>
    </fill>
    <fill>
      <patternFill patternType="solid">
        <fgColor indexed="31"/>
        <bgColor indexed="64"/>
      </patternFill>
    </fill>
    <fill>
      <patternFill patternType="solid">
        <fgColor indexed="43"/>
        <bgColor indexed="64"/>
      </patternFill>
    </fill>
    <fill>
      <patternFill patternType="lightDown">
        <bgColor indexed="43"/>
      </patternFill>
    </fill>
    <fill>
      <patternFill patternType="lightDown"/>
    </fill>
    <fill>
      <patternFill patternType="solid">
        <fgColor indexed="44"/>
        <bgColor indexed="64"/>
      </patternFill>
    </fill>
    <fill>
      <patternFill patternType="solid">
        <fgColor indexed="30"/>
        <bgColor indexed="64"/>
      </patternFill>
    </fill>
    <fill>
      <patternFill patternType="solid">
        <fgColor indexed="24"/>
        <bgColor indexed="64"/>
      </patternFill>
    </fill>
  </fills>
  <borders count="23">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medium"/>
      <top style="thin"/>
      <bottom style="thin"/>
    </border>
    <border>
      <left style="medium"/>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1" fillId="0" borderId="0" xfId="0" applyFont="1" applyBorder="1" applyAlignment="1">
      <alignment/>
    </xf>
    <xf numFmtId="0" fontId="1" fillId="0" borderId="0" xfId="0" applyFont="1" applyBorder="1" applyAlignment="1">
      <alignment horizontal="right"/>
    </xf>
    <xf numFmtId="0" fontId="3" fillId="0" borderId="0" xfId="0" applyFont="1" applyAlignment="1">
      <alignment/>
    </xf>
    <xf numFmtId="0" fontId="3" fillId="0" borderId="0" xfId="0" applyFont="1" applyBorder="1" applyAlignment="1">
      <alignment/>
    </xf>
    <xf numFmtId="0" fontId="1" fillId="0" borderId="0" xfId="0" applyFont="1" applyAlignment="1">
      <alignment/>
    </xf>
    <xf numFmtId="0" fontId="4" fillId="0" borderId="0" xfId="0" applyFont="1" applyAlignment="1">
      <alignment/>
    </xf>
    <xf numFmtId="0" fontId="3" fillId="0" borderId="0" xfId="0" applyFont="1" applyAlignment="1">
      <alignment horizontal="center"/>
    </xf>
    <xf numFmtId="0" fontId="6" fillId="0" borderId="0" xfId="0" applyFont="1" applyAlignment="1">
      <alignment/>
    </xf>
    <xf numFmtId="0" fontId="2" fillId="0" borderId="0" xfId="0" applyFont="1" applyAlignment="1">
      <alignment horizontal="center"/>
    </xf>
    <xf numFmtId="0" fontId="2" fillId="2" borderId="1" xfId="0" applyFont="1" applyFill="1" applyBorder="1" applyAlignment="1">
      <alignment/>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1" fillId="0" borderId="2" xfId="0" applyFont="1" applyBorder="1" applyAlignment="1">
      <alignment wrapText="1"/>
    </xf>
    <xf numFmtId="0" fontId="1" fillId="0" borderId="2" xfId="0" applyFont="1" applyBorder="1" applyAlignment="1">
      <alignment horizontal="center"/>
    </xf>
    <xf numFmtId="0" fontId="2" fillId="0" borderId="2" xfId="0" applyFont="1" applyBorder="1" applyAlignment="1">
      <alignment horizontal="center"/>
    </xf>
    <xf numFmtId="0" fontId="1" fillId="0" borderId="2" xfId="0" applyFont="1" applyBorder="1" applyAlignment="1">
      <alignment horizontal="right"/>
    </xf>
    <xf numFmtId="0" fontId="1" fillId="0" borderId="3" xfId="0" applyFont="1" applyBorder="1" applyAlignment="1">
      <alignment horizontal="right"/>
    </xf>
    <xf numFmtId="0" fontId="1" fillId="0" borderId="3" xfId="0" applyFont="1" applyBorder="1" applyAlignment="1">
      <alignment horizontal="center"/>
    </xf>
    <xf numFmtId="0" fontId="2" fillId="0" borderId="3" xfId="0" applyFont="1" applyBorder="1" applyAlignment="1">
      <alignment horizontal="center"/>
    </xf>
    <xf numFmtId="0" fontId="1" fillId="0" borderId="0" xfId="0" applyFont="1" applyBorder="1" applyAlignment="1">
      <alignment horizontal="left" wrapText="1"/>
    </xf>
    <xf numFmtId="0" fontId="2" fillId="0" borderId="0" xfId="0" applyFont="1" applyBorder="1" applyAlignment="1">
      <alignment horizontal="center"/>
    </xf>
    <xf numFmtId="0" fontId="2" fillId="0" borderId="0" xfId="0" applyFont="1" applyBorder="1" applyAlignment="1">
      <alignment horizontal="left" wrapText="1"/>
    </xf>
    <xf numFmtId="0" fontId="1" fillId="0" borderId="0" xfId="0" applyFont="1" applyBorder="1" applyAlignment="1">
      <alignment horizontal="center"/>
    </xf>
    <xf numFmtId="0" fontId="1" fillId="0" borderId="4" xfId="0" applyFont="1" applyBorder="1" applyAlignment="1">
      <alignment horizontal="left" wrapText="1"/>
    </xf>
    <xf numFmtId="0" fontId="1" fillId="0" borderId="5" xfId="0" applyFont="1" applyBorder="1" applyAlignment="1">
      <alignment horizontal="center"/>
    </xf>
    <xf numFmtId="0" fontId="1" fillId="0" borderId="6" xfId="0" applyFont="1" applyBorder="1" applyAlignment="1">
      <alignment horizontal="left" wrapText="1"/>
    </xf>
    <xf numFmtId="0" fontId="2" fillId="2" borderId="7" xfId="0" applyFont="1" applyFill="1" applyBorder="1" applyAlignment="1">
      <alignment horizontal="left" wrapText="1"/>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0" borderId="5" xfId="0" applyFont="1" applyBorder="1" applyAlignment="1">
      <alignment horizontal="center"/>
    </xf>
    <xf numFmtId="0" fontId="1" fillId="0" borderId="4" xfId="0" applyFont="1" applyBorder="1" applyAlignment="1">
      <alignment horizontal="right" wrapText="1"/>
    </xf>
    <xf numFmtId="0" fontId="1" fillId="0" borderId="10"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left" wrapText="1"/>
    </xf>
    <xf numFmtId="0" fontId="1" fillId="0" borderId="1" xfId="0" applyFont="1" applyBorder="1" applyAlignment="1">
      <alignment horizontal="center"/>
    </xf>
    <xf numFmtId="0" fontId="1" fillId="0" borderId="9" xfId="0" applyFont="1" applyBorder="1" applyAlignment="1">
      <alignment horizontal="center"/>
    </xf>
    <xf numFmtId="0" fontId="1" fillId="0" borderId="0" xfId="0" applyFont="1" applyBorder="1" applyAlignment="1">
      <alignment wrapText="1"/>
    </xf>
    <xf numFmtId="0" fontId="2" fillId="0" borderId="0" xfId="0" applyFont="1" applyBorder="1" applyAlignment="1">
      <alignment wrapText="1"/>
    </xf>
    <xf numFmtId="0" fontId="1" fillId="0" borderId="2" xfId="0" applyFont="1" applyBorder="1" applyAlignment="1">
      <alignment wrapText="1"/>
    </xf>
    <xf numFmtId="0" fontId="2" fillId="2" borderId="1" xfId="0" applyFont="1" applyFill="1" applyBorder="1" applyAlignment="1">
      <alignment wrapText="1"/>
    </xf>
    <xf numFmtId="0" fontId="2" fillId="2" borderId="7" xfId="0" applyFont="1" applyFill="1" applyBorder="1" applyAlignment="1">
      <alignment wrapText="1"/>
    </xf>
    <xf numFmtId="0" fontId="2" fillId="0" borderId="1" xfId="0" applyFont="1" applyBorder="1" applyAlignment="1">
      <alignment wrapText="1"/>
    </xf>
    <xf numFmtId="1" fontId="2" fillId="0" borderId="1" xfId="0" applyNumberFormat="1" applyFont="1" applyBorder="1" applyAlignment="1">
      <alignment horizontal="center"/>
    </xf>
    <xf numFmtId="0" fontId="8" fillId="2" borderId="1" xfId="0" applyFont="1" applyFill="1" applyBorder="1" applyAlignment="1">
      <alignment horizontal="center" wrapText="1"/>
    </xf>
    <xf numFmtId="0" fontId="2" fillId="0" borderId="6" xfId="0" applyFont="1" applyBorder="1" applyAlignment="1">
      <alignment horizontal="left" wrapText="1"/>
    </xf>
    <xf numFmtId="0" fontId="1" fillId="0" borderId="0" xfId="0" applyFont="1" applyAlignment="1">
      <alignment/>
    </xf>
    <xf numFmtId="164" fontId="1" fillId="0" borderId="2" xfId="0" applyNumberFormat="1" applyFont="1" applyBorder="1" applyAlignment="1">
      <alignment horizontal="center"/>
    </xf>
    <xf numFmtId="164" fontId="2" fillId="0" borderId="1" xfId="0" applyNumberFormat="1" applyFont="1" applyBorder="1" applyAlignment="1">
      <alignment horizontal="center"/>
    </xf>
    <xf numFmtId="164" fontId="1" fillId="0" borderId="3" xfId="0" applyNumberFormat="1" applyFont="1" applyBorder="1" applyAlignment="1">
      <alignment horizontal="center"/>
    </xf>
    <xf numFmtId="164" fontId="2" fillId="0" borderId="3" xfId="0" applyNumberFormat="1" applyFont="1" applyBorder="1" applyAlignment="1">
      <alignment horizontal="center"/>
    </xf>
    <xf numFmtId="164" fontId="1" fillId="0" borderId="2" xfId="0" applyNumberFormat="1" applyFont="1" applyBorder="1" applyAlignment="1">
      <alignment horizontal="center"/>
    </xf>
    <xf numFmtId="0" fontId="2" fillId="0" borderId="3" xfId="0" applyFont="1" applyBorder="1" applyAlignment="1">
      <alignment wrapText="1"/>
    </xf>
    <xf numFmtId="164" fontId="2" fillId="0" borderId="3" xfId="0" applyNumberFormat="1" applyFont="1" applyBorder="1" applyAlignment="1">
      <alignment horizontal="center"/>
    </xf>
    <xf numFmtId="0" fontId="1" fillId="0" borderId="10" xfId="0" applyFont="1" applyBorder="1" applyAlignment="1">
      <alignment wrapText="1"/>
    </xf>
    <xf numFmtId="164" fontId="1" fillId="0" borderId="10" xfId="0" applyNumberFormat="1" applyFont="1" applyBorder="1" applyAlignment="1">
      <alignment horizontal="center"/>
    </xf>
    <xf numFmtId="1" fontId="2" fillId="0" borderId="0" xfId="0" applyNumberFormat="1" applyFont="1" applyBorder="1" applyAlignment="1">
      <alignment horizontal="center"/>
    </xf>
    <xf numFmtId="164" fontId="2" fillId="0" borderId="0" xfId="0" applyNumberFormat="1" applyFont="1" applyBorder="1" applyAlignment="1">
      <alignment horizontal="center"/>
    </xf>
    <xf numFmtId="0" fontId="1" fillId="0" borderId="5" xfId="0" applyFont="1" applyBorder="1" applyAlignment="1">
      <alignment/>
    </xf>
    <xf numFmtId="0" fontId="1" fillId="0" borderId="11" xfId="0" applyFont="1" applyBorder="1" applyAlignment="1">
      <alignment/>
    </xf>
    <xf numFmtId="0" fontId="2" fillId="2" borderId="9" xfId="0" applyFont="1" applyFill="1" applyBorder="1" applyAlignment="1">
      <alignment horizontal="center"/>
    </xf>
    <xf numFmtId="0" fontId="1" fillId="0" borderId="2" xfId="0" applyFont="1" applyBorder="1" applyAlignment="1">
      <alignment/>
    </xf>
    <xf numFmtId="0" fontId="1" fillId="0" borderId="3" xfId="0" applyFont="1" applyBorder="1" applyAlignment="1">
      <alignment/>
    </xf>
    <xf numFmtId="0" fontId="2" fillId="2" borderId="1" xfId="0" applyFont="1" applyFill="1" applyBorder="1" applyAlignment="1">
      <alignment horizontal="center"/>
    </xf>
    <xf numFmtId="6" fontId="1" fillId="0" borderId="5" xfId="0" applyNumberFormat="1" applyFont="1" applyBorder="1" applyAlignment="1">
      <alignment/>
    </xf>
    <xf numFmtId="0" fontId="2" fillId="0" borderId="0" xfId="0" applyFont="1" applyAlignment="1">
      <alignment horizontal="center"/>
    </xf>
    <xf numFmtId="0" fontId="1" fillId="0" borderId="0" xfId="0" applyFont="1" applyAlignment="1">
      <alignment horizontal="right"/>
    </xf>
    <xf numFmtId="0" fontId="2" fillId="0" borderId="0" xfId="0" applyFont="1" applyAlignment="1">
      <alignment horizontal="right"/>
    </xf>
    <xf numFmtId="0" fontId="1" fillId="3" borderId="0" xfId="0" applyFont="1" applyFill="1" applyAlignment="1">
      <alignment horizontal="right"/>
    </xf>
    <xf numFmtId="3" fontId="1" fillId="3" borderId="0" xfId="0" applyNumberFormat="1" applyFont="1" applyFill="1" applyAlignment="1">
      <alignment/>
    </xf>
    <xf numFmtId="9" fontId="1" fillId="3" borderId="0" xfId="0" applyNumberFormat="1" applyFont="1" applyFill="1" applyAlignment="1">
      <alignment/>
    </xf>
    <xf numFmtId="0" fontId="3" fillId="0" borderId="0" xfId="0" applyFont="1" applyFill="1" applyAlignment="1">
      <alignment/>
    </xf>
    <xf numFmtId="0" fontId="2" fillId="2" borderId="0" xfId="0" applyFont="1" applyFill="1" applyAlignment="1">
      <alignment horizontal="right"/>
    </xf>
    <xf numFmtId="0" fontId="9" fillId="0" borderId="0" xfId="0" applyFont="1" applyFill="1" applyAlignment="1">
      <alignment/>
    </xf>
    <xf numFmtId="0" fontId="2" fillId="0" borderId="0" xfId="0" applyFont="1" applyFill="1" applyAlignment="1">
      <alignment/>
    </xf>
    <xf numFmtId="0" fontId="1" fillId="0" borderId="0" xfId="0" applyFont="1" applyFill="1" applyAlignment="1">
      <alignment horizontal="right"/>
    </xf>
    <xf numFmtId="0" fontId="9" fillId="0" borderId="0" xfId="0" applyFont="1" applyFill="1" applyAlignment="1">
      <alignment horizontal="left"/>
    </xf>
    <xf numFmtId="0" fontId="1" fillId="0" borderId="0" xfId="0" applyFont="1" applyFill="1" applyAlignment="1">
      <alignment/>
    </xf>
    <xf numFmtId="6" fontId="1" fillId="3" borderId="0" xfId="0" applyNumberFormat="1" applyFont="1" applyFill="1" applyAlignment="1">
      <alignment/>
    </xf>
    <xf numFmtId="9" fontId="1" fillId="3" borderId="0" xfId="0" applyNumberFormat="1" applyFont="1" applyFill="1" applyAlignment="1">
      <alignment horizontal="right"/>
    </xf>
    <xf numFmtId="168" fontId="1" fillId="3" borderId="0" xfId="0" applyNumberFormat="1" applyFont="1" applyFill="1" applyAlignment="1">
      <alignment/>
    </xf>
    <xf numFmtId="6" fontId="1" fillId="3" borderId="0" xfId="0" applyNumberFormat="1" applyFont="1" applyFill="1" applyAlignment="1">
      <alignment horizontal="right"/>
    </xf>
    <xf numFmtId="9" fontId="1" fillId="0" borderId="0" xfId="0" applyNumberFormat="1" applyFont="1" applyFill="1" applyAlignment="1">
      <alignment/>
    </xf>
    <xf numFmtId="0" fontId="1" fillId="0" borderId="12" xfId="0" applyFont="1" applyBorder="1" applyAlignment="1">
      <alignment/>
    </xf>
    <xf numFmtId="0" fontId="2" fillId="0" borderId="10" xfId="0" applyFont="1" applyBorder="1" applyAlignment="1">
      <alignment/>
    </xf>
    <xf numFmtId="0" fontId="2" fillId="0" borderId="2" xfId="0" applyFont="1" applyBorder="1" applyAlignment="1">
      <alignment/>
    </xf>
    <xf numFmtId="3" fontId="1" fillId="0" borderId="0" xfId="0" applyNumberFormat="1" applyFont="1" applyFill="1" applyAlignment="1">
      <alignment/>
    </xf>
    <xf numFmtId="0" fontId="2" fillId="0" borderId="0" xfId="0" applyFont="1" applyFill="1" applyAlignment="1">
      <alignment horizontal="right"/>
    </xf>
    <xf numFmtId="0" fontId="10" fillId="0" borderId="0" xfId="0" applyFont="1" applyFill="1" applyAlignment="1">
      <alignment horizontal="left"/>
    </xf>
    <xf numFmtId="169" fontId="1" fillId="3" borderId="0" xfId="0" applyNumberFormat="1" applyFont="1" applyFill="1" applyAlignment="1">
      <alignment/>
    </xf>
    <xf numFmtId="0" fontId="4" fillId="0" borderId="0" xfId="0" applyFont="1" applyAlignment="1">
      <alignment horizontal="left"/>
    </xf>
    <xf numFmtId="0" fontId="10" fillId="0" borderId="0" xfId="0" applyFont="1" applyAlignment="1">
      <alignment/>
    </xf>
    <xf numFmtId="168" fontId="1" fillId="0" borderId="0" xfId="0" applyNumberFormat="1" applyFont="1" applyAlignment="1">
      <alignment/>
    </xf>
    <xf numFmtId="168" fontId="1" fillId="3" borderId="0" xfId="0" applyNumberFormat="1" applyFont="1" applyFill="1" applyAlignment="1">
      <alignment/>
    </xf>
    <xf numFmtId="168" fontId="2" fillId="3" borderId="0" xfId="0" applyNumberFormat="1" applyFont="1" applyFill="1" applyAlignment="1">
      <alignment/>
    </xf>
    <xf numFmtId="6" fontId="1" fillId="3" borderId="0" xfId="0" applyNumberFormat="1" applyFont="1" applyFill="1" applyAlignment="1">
      <alignment/>
    </xf>
    <xf numFmtId="0" fontId="0" fillId="0" borderId="0" xfId="0" applyFill="1" applyAlignment="1">
      <alignment/>
    </xf>
    <xf numFmtId="0" fontId="1" fillId="3" borderId="0" xfId="0" applyFont="1" applyFill="1" applyAlignment="1">
      <alignment/>
    </xf>
    <xf numFmtId="169" fontId="1" fillId="0" borderId="0" xfId="0" applyNumberFormat="1" applyFont="1" applyAlignment="1">
      <alignment/>
    </xf>
    <xf numFmtId="0" fontId="2" fillId="3" borderId="0" xfId="0" applyFont="1" applyFill="1" applyAlignment="1">
      <alignment/>
    </xf>
    <xf numFmtId="42" fontId="2" fillId="3" borderId="0" xfId="0" applyNumberFormat="1" applyFont="1" applyFill="1" applyAlignment="1">
      <alignment/>
    </xf>
    <xf numFmtId="42" fontId="2" fillId="0" borderId="0" xfId="0" applyNumberFormat="1" applyFont="1" applyFill="1" applyAlignment="1">
      <alignment/>
    </xf>
    <xf numFmtId="168" fontId="2" fillId="0" borderId="0" xfId="0" applyNumberFormat="1" applyFont="1" applyFill="1" applyAlignment="1">
      <alignment/>
    </xf>
    <xf numFmtId="6" fontId="1" fillId="0" borderId="11" xfId="0" applyNumberFormat="1" applyFont="1" applyBorder="1" applyAlignment="1">
      <alignment/>
    </xf>
    <xf numFmtId="0" fontId="0" fillId="3" borderId="0" xfId="0" applyFill="1" applyAlignment="1">
      <alignment/>
    </xf>
    <xf numFmtId="0" fontId="11" fillId="0" borderId="0" xfId="0" applyFont="1" applyAlignment="1">
      <alignment/>
    </xf>
    <xf numFmtId="168" fontId="11" fillId="3" borderId="0" xfId="0" applyNumberFormat="1" applyFont="1" applyFill="1" applyAlignment="1">
      <alignment/>
    </xf>
    <xf numFmtId="168" fontId="11" fillId="0" borderId="0" xfId="0" applyNumberFormat="1" applyFont="1" applyAlignment="1">
      <alignment/>
    </xf>
    <xf numFmtId="0" fontId="7" fillId="0" borderId="0" xfId="0" applyFont="1" applyAlignment="1">
      <alignment/>
    </xf>
    <xf numFmtId="168" fontId="7" fillId="3" borderId="0" xfId="0" applyNumberFormat="1" applyFont="1" applyFill="1" applyAlignment="1">
      <alignment/>
    </xf>
    <xf numFmtId="0" fontId="1" fillId="0" borderId="2" xfId="0" applyFont="1" applyBorder="1" applyAlignment="1">
      <alignment horizontal="center" wrapText="1"/>
    </xf>
    <xf numFmtId="0" fontId="1" fillId="0" borderId="13" xfId="0" applyFont="1" applyBorder="1" applyAlignment="1">
      <alignment horizontal="left" wrapText="1"/>
    </xf>
    <xf numFmtId="0" fontId="2" fillId="0" borderId="10" xfId="0" applyFont="1" applyBorder="1" applyAlignment="1">
      <alignment horizontal="center"/>
    </xf>
    <xf numFmtId="0" fontId="2" fillId="0" borderId="12" xfId="0" applyFont="1" applyBorder="1" applyAlignment="1">
      <alignment horizontal="center"/>
    </xf>
    <xf numFmtId="0" fontId="2" fillId="0" borderId="4" xfId="0" applyFont="1" applyBorder="1" applyAlignment="1">
      <alignment horizontal="left" wrapText="1"/>
    </xf>
    <xf numFmtId="0" fontId="2" fillId="0" borderId="11" xfId="0" applyFont="1" applyBorder="1" applyAlignment="1">
      <alignment horizontal="center"/>
    </xf>
    <xf numFmtId="0" fontId="2" fillId="2" borderId="9" xfId="0" applyFont="1" applyFill="1" applyBorder="1" applyAlignment="1">
      <alignment horizontal="center" wrapText="1"/>
    </xf>
    <xf numFmtId="0" fontId="2" fillId="0" borderId="4" xfId="0" applyFont="1" applyBorder="1" applyAlignment="1">
      <alignment horizontal="left"/>
    </xf>
    <xf numFmtId="0" fontId="2" fillId="0" borderId="4" xfId="0" applyFont="1" applyBorder="1" applyAlignment="1">
      <alignment/>
    </xf>
    <xf numFmtId="0" fontId="2" fillId="0" borderId="5" xfId="0" applyFont="1" applyBorder="1" applyAlignment="1">
      <alignment horizontal="center"/>
    </xf>
    <xf numFmtId="0" fontId="1" fillId="0" borderId="4" xfId="0" applyFont="1" applyBorder="1" applyAlignment="1">
      <alignment/>
    </xf>
    <xf numFmtId="167" fontId="1" fillId="0" borderId="5" xfId="0" applyNumberFormat="1" applyFont="1" applyBorder="1" applyAlignment="1">
      <alignment/>
    </xf>
    <xf numFmtId="0" fontId="0" fillId="0" borderId="0" xfId="0" applyFont="1" applyAlignment="1">
      <alignment/>
    </xf>
    <xf numFmtId="1" fontId="2" fillId="0" borderId="0" xfId="0" applyNumberFormat="1" applyFont="1" applyFill="1" applyAlignment="1">
      <alignment horizontal="right"/>
    </xf>
    <xf numFmtId="1" fontId="0" fillId="0" borderId="0" xfId="0" applyNumberFormat="1" applyFill="1" applyAlignment="1">
      <alignment/>
    </xf>
    <xf numFmtId="0" fontId="1" fillId="0" borderId="0" xfId="0" applyFont="1" applyBorder="1" applyAlignment="1">
      <alignment horizontal="right"/>
    </xf>
    <xf numFmtId="3" fontId="1" fillId="0" borderId="0" xfId="0" applyNumberFormat="1" applyFont="1" applyAlignment="1">
      <alignment/>
    </xf>
    <xf numFmtId="168" fontId="1" fillId="0" borderId="0" xfId="0" applyNumberFormat="1" applyFont="1" applyAlignment="1">
      <alignment/>
    </xf>
    <xf numFmtId="0" fontId="1" fillId="0" borderId="4" xfId="0" applyFont="1" applyBorder="1" applyAlignment="1">
      <alignment horizontal="right"/>
    </xf>
    <xf numFmtId="168" fontId="11" fillId="0" borderId="0" xfId="0" applyNumberFormat="1" applyFont="1" applyFill="1" applyAlignment="1">
      <alignment/>
    </xf>
    <xf numFmtId="169" fontId="1" fillId="0" borderId="0" xfId="0" applyNumberFormat="1" applyFont="1" applyFill="1" applyAlignment="1">
      <alignment/>
    </xf>
    <xf numFmtId="168" fontId="7" fillId="0" borderId="0" xfId="0" applyNumberFormat="1" applyFont="1" applyAlignment="1">
      <alignment/>
    </xf>
    <xf numFmtId="0" fontId="2" fillId="2" borderId="1" xfId="0" applyFont="1" applyFill="1" applyBorder="1" applyAlignment="1">
      <alignment horizontal="center" wrapText="1"/>
    </xf>
    <xf numFmtId="0" fontId="2" fillId="0" borderId="2" xfId="0" applyFont="1" applyBorder="1" applyAlignment="1">
      <alignment horizontal="center"/>
    </xf>
    <xf numFmtId="164" fontId="2" fillId="0" borderId="0" xfId="0" applyNumberFormat="1" applyFont="1" applyBorder="1" applyAlignment="1">
      <alignment horizontal="center"/>
    </xf>
    <xf numFmtId="0" fontId="2" fillId="2" borderId="1" xfId="0" applyFont="1" applyFill="1" applyBorder="1" applyAlignment="1">
      <alignment/>
    </xf>
    <xf numFmtId="167" fontId="1" fillId="0" borderId="11" xfId="0" applyNumberFormat="1" applyFont="1" applyBorder="1" applyAlignment="1">
      <alignment/>
    </xf>
    <xf numFmtId="0" fontId="9" fillId="0" borderId="0" xfId="0" applyFont="1" applyFill="1" applyAlignment="1">
      <alignment wrapText="1"/>
    </xf>
    <xf numFmtId="0" fontId="1" fillId="3" borderId="0" xfId="0" applyFont="1" applyFill="1" applyAlignment="1">
      <alignment/>
    </xf>
    <xf numFmtId="0" fontId="1" fillId="0" borderId="0" xfId="0" applyFont="1" applyFill="1" applyAlignment="1">
      <alignment/>
    </xf>
    <xf numFmtId="0" fontId="2" fillId="0" borderId="6" xfId="0" applyFont="1" applyBorder="1" applyAlignment="1">
      <alignment horizontal="left"/>
    </xf>
    <xf numFmtId="0" fontId="2" fillId="0" borderId="6" xfId="0" applyFont="1" applyBorder="1" applyAlignment="1">
      <alignment/>
    </xf>
    <xf numFmtId="0" fontId="1" fillId="0" borderId="10" xfId="0" applyFont="1" applyBorder="1" applyAlignment="1">
      <alignment horizontal="left" wrapText="1"/>
    </xf>
    <xf numFmtId="0" fontId="1" fillId="0" borderId="10" xfId="0" applyFont="1" applyBorder="1" applyAlignment="1">
      <alignment horizontal="center"/>
    </xf>
    <xf numFmtId="0" fontId="2" fillId="0" borderId="0" xfId="0" applyFont="1" applyAlignment="1">
      <alignment/>
    </xf>
    <xf numFmtId="0" fontId="2" fillId="0" borderId="0" xfId="0" applyFont="1" applyBorder="1" applyAlignment="1">
      <alignment/>
    </xf>
    <xf numFmtId="0" fontId="2" fillId="0" borderId="3" xfId="0" applyFont="1" applyBorder="1" applyAlignment="1">
      <alignment horizontal="center"/>
    </xf>
    <xf numFmtId="0" fontId="0" fillId="4" borderId="0" xfId="0" applyFill="1" applyAlignment="1">
      <alignment/>
    </xf>
    <xf numFmtId="6" fontId="1" fillId="5" borderId="5" xfId="0" applyNumberFormat="1" applyFont="1" applyFill="1" applyBorder="1" applyAlignment="1">
      <alignment/>
    </xf>
    <xf numFmtId="0" fontId="1"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2" fillId="0" borderId="13" xfId="0" applyFont="1" applyBorder="1" applyAlignment="1">
      <alignment/>
    </xf>
    <xf numFmtId="0" fontId="5" fillId="0" borderId="12" xfId="0" applyFont="1" applyBorder="1" applyAlignment="1">
      <alignment horizontal="center"/>
    </xf>
    <xf numFmtId="0" fontId="5" fillId="0" borderId="5" xfId="0" applyFont="1" applyBorder="1" applyAlignment="1">
      <alignment horizontal="center"/>
    </xf>
    <xf numFmtId="0" fontId="1" fillId="0" borderId="4" xfId="0" applyFont="1" applyBorder="1" applyAlignment="1">
      <alignment/>
    </xf>
    <xf numFmtId="0" fontId="5" fillId="0" borderId="5" xfId="0" applyFont="1" applyBorder="1" applyAlignment="1">
      <alignment/>
    </xf>
    <xf numFmtId="0" fontId="1" fillId="0" borderId="6" xfId="0" applyFont="1" applyBorder="1" applyAlignment="1">
      <alignment/>
    </xf>
    <xf numFmtId="0" fontId="5" fillId="0" borderId="11" xfId="0" applyFont="1" applyBorder="1" applyAlignment="1">
      <alignment/>
    </xf>
    <xf numFmtId="0" fontId="2" fillId="2" borderId="7" xfId="0" applyFont="1" applyFill="1" applyBorder="1" applyAlignment="1">
      <alignment horizontal="center"/>
    </xf>
    <xf numFmtId="0" fontId="5" fillId="0" borderId="10"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3" fontId="1" fillId="3" borderId="0" xfId="0" applyNumberFormat="1" applyFont="1" applyFill="1" applyAlignment="1">
      <alignment/>
    </xf>
    <xf numFmtId="9" fontId="1" fillId="3" borderId="0" xfId="0" applyNumberFormat="1" applyFont="1" applyFill="1" applyAlignment="1">
      <alignment/>
    </xf>
    <xf numFmtId="164" fontId="1" fillId="3" borderId="0" xfId="0" applyNumberFormat="1" applyFont="1" applyFill="1" applyAlignment="1">
      <alignment/>
    </xf>
    <xf numFmtId="0" fontId="1" fillId="4" borderId="0" xfId="0" applyFont="1" applyFill="1" applyAlignment="1">
      <alignment/>
    </xf>
    <xf numFmtId="168" fontId="2" fillId="3" borderId="0" xfId="0" applyNumberFormat="1" applyFont="1" applyFill="1" applyAlignment="1">
      <alignment/>
    </xf>
    <xf numFmtId="0" fontId="2" fillId="0" borderId="0" xfId="0" applyFont="1" applyFill="1" applyAlignment="1">
      <alignment/>
    </xf>
    <xf numFmtId="0" fontId="2" fillId="3" borderId="0" xfId="0" applyFont="1" applyFill="1" applyAlignment="1">
      <alignment/>
    </xf>
    <xf numFmtId="42" fontId="2" fillId="3" borderId="0" xfId="0" applyNumberFormat="1" applyFont="1" applyFill="1" applyAlignment="1">
      <alignment/>
    </xf>
    <xf numFmtId="42" fontId="2" fillId="0" borderId="0" xfId="0" applyNumberFormat="1" applyFont="1" applyFill="1" applyAlignment="1">
      <alignment/>
    </xf>
    <xf numFmtId="168" fontId="2" fillId="0" borderId="0" xfId="0" applyNumberFormat="1" applyFont="1" applyFill="1" applyAlignment="1">
      <alignment/>
    </xf>
    <xf numFmtId="1" fontId="1" fillId="3" borderId="0" xfId="0" applyNumberFormat="1" applyFont="1" applyFill="1" applyAlignment="1">
      <alignment/>
    </xf>
    <xf numFmtId="0" fontId="12" fillId="0" borderId="0" xfId="0" applyFont="1" applyAlignment="1">
      <alignment/>
    </xf>
    <xf numFmtId="0" fontId="0" fillId="0" borderId="0" xfId="0" applyBorder="1" applyAlignment="1">
      <alignment/>
    </xf>
    <xf numFmtId="168" fontId="1" fillId="0" borderId="0" xfId="0" applyNumberFormat="1" applyFont="1" applyBorder="1" applyAlignment="1">
      <alignment/>
    </xf>
    <xf numFmtId="0" fontId="7" fillId="0" borderId="0" xfId="0" applyFont="1" applyBorder="1" applyAlignment="1">
      <alignment/>
    </xf>
    <xf numFmtId="168" fontId="1" fillId="3" borderId="0" xfId="0" applyNumberFormat="1" applyFont="1" applyFill="1" applyBorder="1" applyAlignment="1">
      <alignment/>
    </xf>
    <xf numFmtId="168" fontId="7" fillId="3" borderId="0" xfId="0" applyNumberFormat="1" applyFont="1" applyFill="1" applyBorder="1" applyAlignment="1">
      <alignment/>
    </xf>
    <xf numFmtId="0" fontId="2" fillId="2" borderId="0" xfId="0" applyFont="1" applyFill="1" applyBorder="1" applyAlignment="1">
      <alignment horizontal="center"/>
    </xf>
    <xf numFmtId="0" fontId="1" fillId="0" borderId="0" xfId="0" applyFont="1" applyBorder="1" applyAlignment="1">
      <alignment horizontal="center"/>
    </xf>
    <xf numFmtId="0" fontId="5" fillId="0" borderId="1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horizontal="center"/>
    </xf>
    <xf numFmtId="0" fontId="2" fillId="0" borderId="1" xfId="0" applyFont="1" applyBorder="1" applyAlignment="1">
      <alignment horizontal="center"/>
    </xf>
    <xf numFmtId="0" fontId="2" fillId="2" borderId="7" xfId="0" applyFont="1" applyFill="1" applyBorder="1" applyAlignment="1">
      <alignment horizontal="center"/>
    </xf>
    <xf numFmtId="0" fontId="1" fillId="0" borderId="10" xfId="0" applyFont="1" applyFill="1" applyBorder="1" applyAlignment="1">
      <alignment/>
    </xf>
    <xf numFmtId="0" fontId="1" fillId="0" borderId="12" xfId="0" applyFont="1" applyFill="1" applyBorder="1" applyAlignment="1">
      <alignment/>
    </xf>
    <xf numFmtId="0" fontId="13" fillId="0" borderId="0" xfId="0" applyFont="1" applyAlignment="1">
      <alignment/>
    </xf>
    <xf numFmtId="0" fontId="1" fillId="0" borderId="3" xfId="0" applyFont="1" applyBorder="1" applyAlignment="1">
      <alignment wrapText="1"/>
    </xf>
    <xf numFmtId="0" fontId="1" fillId="0" borderId="0" xfId="0" applyFont="1" applyAlignment="1">
      <alignment horizontal="right"/>
    </xf>
    <xf numFmtId="0" fontId="2" fillId="2" borderId="0" xfId="0" applyFont="1" applyFill="1" applyAlignment="1">
      <alignment horizontal="center"/>
    </xf>
    <xf numFmtId="0" fontId="2" fillId="0" borderId="0" xfId="0" applyFont="1" applyFill="1" applyAlignment="1">
      <alignment horizontal="center"/>
    </xf>
    <xf numFmtId="0" fontId="2" fillId="2" borderId="0" xfId="0" applyFont="1" applyFill="1" applyAlignment="1">
      <alignment horizontal="center" wrapText="1"/>
    </xf>
    <xf numFmtId="0" fontId="14" fillId="0" borderId="0" xfId="0" applyFont="1" applyAlignment="1">
      <alignment horizontal="left"/>
    </xf>
    <xf numFmtId="165" fontId="1" fillId="3" borderId="0" xfId="0" applyNumberFormat="1" applyFont="1" applyFill="1" applyAlignment="1">
      <alignment/>
    </xf>
    <xf numFmtId="6" fontId="11" fillId="3" borderId="0" xfId="0" applyNumberFormat="1" applyFont="1" applyFill="1" applyAlignment="1">
      <alignment/>
    </xf>
    <xf numFmtId="0" fontId="1" fillId="0" borderId="0" xfId="0" applyFont="1" applyAlignment="1">
      <alignment horizontal="center"/>
    </xf>
    <xf numFmtId="0" fontId="1" fillId="0" borderId="13"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1" fillId="0" borderId="0" xfId="0" applyFont="1" applyAlignment="1">
      <alignment horizontal="left" wrapText="1"/>
    </xf>
    <xf numFmtId="0" fontId="1" fillId="0" borderId="7" xfId="0" applyFont="1" applyBorder="1" applyAlignment="1">
      <alignment wrapText="1"/>
    </xf>
    <xf numFmtId="164" fontId="2" fillId="2" borderId="1" xfId="0" applyNumberFormat="1" applyFont="1" applyFill="1" applyBorder="1" applyAlignment="1">
      <alignment horizontal="center" wrapText="1"/>
    </xf>
    <xf numFmtId="164" fontId="1" fillId="0" borderId="3" xfId="0" applyNumberFormat="1" applyFont="1" applyBorder="1" applyAlignment="1">
      <alignment horizontal="center"/>
    </xf>
    <xf numFmtId="1" fontId="1" fillId="0" borderId="10" xfId="0" applyNumberFormat="1" applyFont="1" applyBorder="1" applyAlignment="1">
      <alignment horizontal="center"/>
    </xf>
    <xf numFmtId="1" fontId="1" fillId="0" borderId="2" xfId="0" applyNumberFormat="1" applyFont="1" applyBorder="1" applyAlignment="1">
      <alignment horizontal="center"/>
    </xf>
    <xf numFmtId="1" fontId="1" fillId="0" borderId="3" xfId="0" applyNumberFormat="1" applyFont="1" applyBorder="1" applyAlignment="1">
      <alignment horizontal="center"/>
    </xf>
    <xf numFmtId="164" fontId="5" fillId="0" borderId="1" xfId="0" applyNumberFormat="1" applyFont="1" applyFill="1" applyBorder="1" applyAlignment="1">
      <alignment horizontal="center" wrapText="1"/>
    </xf>
    <xf numFmtId="164" fontId="1" fillId="0" borderId="9" xfId="0" applyNumberFormat="1" applyFont="1" applyBorder="1" applyAlignment="1">
      <alignment horizontal="center"/>
    </xf>
    <xf numFmtId="0" fontId="5" fillId="0" borderId="1" xfId="0" applyFont="1" applyBorder="1" applyAlignment="1">
      <alignment wrapText="1"/>
    </xf>
    <xf numFmtId="0" fontId="5" fillId="0" borderId="8"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1" fillId="0" borderId="2" xfId="0" applyFont="1" applyFill="1" applyBorder="1" applyAlignment="1">
      <alignment horizontal="center"/>
    </xf>
    <xf numFmtId="164" fontId="1" fillId="0" borderId="1" xfId="0" applyNumberFormat="1" applyFont="1" applyBorder="1" applyAlignment="1">
      <alignment horizontal="center"/>
    </xf>
    <xf numFmtId="165" fontId="1" fillId="3" borderId="0" xfId="0" applyNumberFormat="1" applyFont="1" applyFill="1" applyAlignment="1">
      <alignment/>
    </xf>
    <xf numFmtId="165" fontId="1" fillId="3" borderId="0" xfId="0" applyNumberFormat="1" applyFont="1" applyFill="1" applyAlignment="1">
      <alignment horizontal="left"/>
    </xf>
    <xf numFmtId="0" fontId="15" fillId="0" borderId="0" xfId="0" applyFont="1" applyAlignment="1">
      <alignment/>
    </xf>
    <xf numFmtId="0" fontId="7" fillId="3" borderId="0" xfId="0" applyFont="1" applyFill="1" applyAlignment="1">
      <alignment/>
    </xf>
    <xf numFmtId="167" fontId="1" fillId="3" borderId="0" xfId="0" applyNumberFormat="1" applyFont="1" applyFill="1" applyAlignment="1">
      <alignment/>
    </xf>
    <xf numFmtId="0" fontId="0" fillId="0" borderId="0" xfId="0" applyAlignment="1">
      <alignment horizontal="right"/>
    </xf>
    <xf numFmtId="165" fontId="7" fillId="3" borderId="0" xfId="0" applyNumberFormat="1" applyFont="1" applyFill="1" applyAlignment="1">
      <alignment/>
    </xf>
    <xf numFmtId="0" fontId="15" fillId="0" borderId="0" xfId="0" applyFont="1" applyFill="1" applyAlignment="1">
      <alignment/>
    </xf>
    <xf numFmtId="6" fontId="7" fillId="3" borderId="0" xfId="0" applyNumberFormat="1" applyFont="1" applyFill="1" applyAlignment="1">
      <alignment/>
    </xf>
    <xf numFmtId="3" fontId="0" fillId="0" borderId="0" xfId="0" applyNumberFormat="1" applyAlignment="1">
      <alignment/>
    </xf>
    <xf numFmtId="168" fontId="0" fillId="0" borderId="0" xfId="0" applyNumberFormat="1" applyAlignment="1">
      <alignment/>
    </xf>
    <xf numFmtId="165" fontId="0" fillId="0" borderId="0" xfId="0" applyNumberFormat="1" applyAlignment="1">
      <alignment/>
    </xf>
    <xf numFmtId="0" fontId="3" fillId="2" borderId="14" xfId="0" applyFont="1" applyFill="1" applyBorder="1" applyAlignment="1">
      <alignment/>
    </xf>
    <xf numFmtId="0" fontId="3" fillId="2" borderId="15" xfId="0" applyFont="1" applyFill="1" applyBorder="1" applyAlignment="1">
      <alignment/>
    </xf>
    <xf numFmtId="0" fontId="2" fillId="6" borderId="16" xfId="0" applyFont="1" applyFill="1" applyBorder="1" applyAlignment="1">
      <alignment/>
    </xf>
    <xf numFmtId="0" fontId="1" fillId="0" borderId="17" xfId="0" applyFont="1" applyBorder="1" applyAlignment="1">
      <alignment wrapText="1"/>
    </xf>
    <xf numFmtId="0" fontId="1" fillId="0" borderId="18" xfId="0" applyFont="1" applyBorder="1" applyAlignment="1">
      <alignment wrapText="1"/>
    </xf>
    <xf numFmtId="0" fontId="2" fillId="6" borderId="19" xfId="0" applyFont="1" applyFill="1" applyBorder="1" applyAlignment="1">
      <alignment/>
    </xf>
    <xf numFmtId="0" fontId="1" fillId="0" borderId="20" xfId="0" applyFont="1" applyBorder="1" applyAlignment="1">
      <alignment wrapText="1"/>
    </xf>
    <xf numFmtId="0" fontId="16" fillId="7" borderId="14" xfId="0" applyFont="1" applyFill="1" applyBorder="1" applyAlignment="1">
      <alignment/>
    </xf>
    <xf numFmtId="0" fontId="1" fillId="0" borderId="14" xfId="0" applyFont="1" applyBorder="1" applyAlignment="1">
      <alignment wrapText="1"/>
    </xf>
    <xf numFmtId="0" fontId="2" fillId="3" borderId="16" xfId="0" applyFont="1" applyFill="1" applyBorder="1" applyAlignment="1">
      <alignment/>
    </xf>
    <xf numFmtId="0" fontId="1" fillId="0" borderId="16" xfId="0" applyFont="1" applyBorder="1" applyAlignment="1">
      <alignment wrapText="1"/>
    </xf>
    <xf numFmtId="0" fontId="2" fillId="3" borderId="21" xfId="0" applyFont="1" applyFill="1" applyBorder="1" applyAlignment="1">
      <alignment/>
    </xf>
    <xf numFmtId="0" fontId="2" fillId="3" borderId="22" xfId="0" applyFont="1" applyFill="1" applyBorder="1" applyAlignment="1">
      <alignment/>
    </xf>
    <xf numFmtId="0" fontId="2" fillId="8" borderId="16" xfId="0" applyFont="1" applyFill="1" applyBorder="1" applyAlignment="1">
      <alignment/>
    </xf>
    <xf numFmtId="0" fontId="2" fillId="8" borderId="21" xfId="0" applyFont="1" applyFill="1" applyBorder="1" applyAlignment="1">
      <alignment/>
    </xf>
    <xf numFmtId="0" fontId="1" fillId="0" borderId="21" xfId="0" applyFont="1" applyBorder="1" applyAlignment="1">
      <alignment wrapText="1"/>
    </xf>
    <xf numFmtId="0" fontId="2" fillId="8" borderId="22" xfId="0" applyFont="1" applyFill="1" applyBorder="1" applyAlignment="1">
      <alignment/>
    </xf>
    <xf numFmtId="0" fontId="1" fillId="0" borderId="22" xfId="0" applyFont="1" applyBorder="1" applyAlignment="1">
      <alignment wrapText="1"/>
    </xf>
    <xf numFmtId="0" fontId="4" fillId="0" borderId="0" xfId="0" applyFont="1" applyBorder="1" applyAlignment="1">
      <alignment/>
    </xf>
    <xf numFmtId="0" fontId="6" fillId="0" borderId="0" xfId="0" applyFont="1" applyBorder="1" applyAlignment="1">
      <alignment/>
    </xf>
    <xf numFmtId="0" fontId="3" fillId="0" borderId="0" xfId="0" applyFont="1" applyFill="1" applyBorder="1" applyAlignment="1">
      <alignment/>
    </xf>
    <xf numFmtId="0" fontId="9" fillId="0" borderId="0" xfId="0" applyFont="1" applyFill="1" applyBorder="1" applyAlignment="1">
      <alignment/>
    </xf>
    <xf numFmtId="0" fontId="1" fillId="0" borderId="0" xfId="0" applyFont="1" applyFill="1" applyBorder="1" applyAlignment="1">
      <alignment horizontal="right"/>
    </xf>
    <xf numFmtId="0" fontId="2" fillId="0" borderId="0" xfId="0" applyFont="1" applyFill="1" applyBorder="1" applyAlignment="1">
      <alignment/>
    </xf>
    <xf numFmtId="0" fontId="9" fillId="0" borderId="0" xfId="0" applyFont="1" applyFill="1" applyBorder="1" applyAlignment="1">
      <alignment horizontal="left"/>
    </xf>
    <xf numFmtId="0" fontId="10" fillId="0" borderId="0" xfId="0" applyFont="1" applyFill="1" applyBorder="1" applyAlignment="1">
      <alignment horizontal="left"/>
    </xf>
    <xf numFmtId="0" fontId="4" fillId="0" borderId="0" xfId="0" applyFont="1" applyBorder="1" applyAlignment="1">
      <alignment horizontal="left"/>
    </xf>
    <xf numFmtId="0" fontId="10"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left"/>
    </xf>
    <xf numFmtId="0" fontId="11" fillId="0" borderId="0" xfId="0" applyFont="1" applyBorder="1" applyAlignment="1">
      <alignment horizontal="right"/>
    </xf>
    <xf numFmtId="0" fontId="9" fillId="0" borderId="0" xfId="0" applyFont="1" applyBorder="1" applyAlignment="1">
      <alignment horizontal="left"/>
    </xf>
    <xf numFmtId="0" fontId="2" fillId="6" borderId="21" xfId="0" applyFont="1" applyFill="1" applyBorder="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2"/>
  </sheetPr>
  <dimension ref="A1:B18"/>
  <sheetViews>
    <sheetView tabSelected="1" workbookViewId="0" topLeftCell="A1">
      <selection activeCell="A2" sqref="A2"/>
    </sheetView>
  </sheetViews>
  <sheetFormatPr defaultColWidth="9.140625" defaultRowHeight="12.75"/>
  <cols>
    <col min="1" max="1" width="25.7109375" style="0" customWidth="1"/>
    <col min="2" max="2" width="90.7109375" style="0" customWidth="1"/>
  </cols>
  <sheetData>
    <row r="1" ht="15.75">
      <c r="A1" s="6" t="s">
        <v>326</v>
      </c>
    </row>
    <row r="2" ht="15.75">
      <c r="A2" s="6"/>
    </row>
    <row r="3" spans="1:2" ht="15.75">
      <c r="A3" s="6" t="s">
        <v>314</v>
      </c>
      <c r="B3" t="s">
        <v>315</v>
      </c>
    </row>
    <row r="4" ht="38.25">
      <c r="B4" s="263" t="s">
        <v>316</v>
      </c>
    </row>
    <row r="6" ht="15.75">
      <c r="A6" s="6" t="s">
        <v>292</v>
      </c>
    </row>
    <row r="7" ht="13.5" thickBot="1"/>
    <row r="8" spans="1:2" ht="13.5" thickBot="1">
      <c r="A8" s="230" t="s">
        <v>293</v>
      </c>
      <c r="B8" s="231" t="s">
        <v>294</v>
      </c>
    </row>
    <row r="9" spans="1:2" ht="48" customHeight="1">
      <c r="A9" s="232" t="s">
        <v>313</v>
      </c>
      <c r="B9" s="233" t="s">
        <v>295</v>
      </c>
    </row>
    <row r="10" spans="1:2" ht="12" customHeight="1">
      <c r="A10" s="262" t="s">
        <v>296</v>
      </c>
      <c r="B10" s="234" t="s">
        <v>297</v>
      </c>
    </row>
    <row r="11" spans="1:2" ht="12" customHeight="1" thickBot="1">
      <c r="A11" s="235" t="s">
        <v>298</v>
      </c>
      <c r="B11" s="236" t="s">
        <v>299</v>
      </c>
    </row>
    <row r="12" spans="1:2" ht="37.5" customHeight="1" thickBot="1">
      <c r="A12" s="237" t="s">
        <v>300</v>
      </c>
      <c r="B12" s="238" t="s">
        <v>301</v>
      </c>
    </row>
    <row r="13" spans="1:2" ht="60" customHeight="1" thickBot="1">
      <c r="A13" s="239" t="s">
        <v>302</v>
      </c>
      <c r="B13" s="240" t="s">
        <v>303</v>
      </c>
    </row>
    <row r="14" spans="1:2" ht="60" customHeight="1" thickBot="1">
      <c r="A14" s="241" t="s">
        <v>304</v>
      </c>
      <c r="B14" s="240" t="s">
        <v>305</v>
      </c>
    </row>
    <row r="15" spans="1:2" ht="48" customHeight="1" thickBot="1">
      <c r="A15" s="242" t="s">
        <v>306</v>
      </c>
      <c r="B15" s="240" t="s">
        <v>307</v>
      </c>
    </row>
    <row r="16" spans="1:2" ht="12" customHeight="1">
      <c r="A16" s="243" t="s">
        <v>308</v>
      </c>
      <c r="B16" s="240" t="s">
        <v>309</v>
      </c>
    </row>
    <row r="17" spans="1:2" ht="24" customHeight="1">
      <c r="A17" s="244" t="s">
        <v>310</v>
      </c>
      <c r="B17" s="245" t="s">
        <v>311</v>
      </c>
    </row>
    <row r="18" spans="1:2" ht="24" customHeight="1" thickBot="1">
      <c r="A18" s="246" t="s">
        <v>312</v>
      </c>
      <c r="B18" s="247" t="s">
        <v>324</v>
      </c>
    </row>
  </sheetData>
  <printOptions/>
  <pageMargins left="0.75" right="0.75" top="1" bottom="1" header="0.5" footer="0.5"/>
  <pageSetup horizontalDpi="1200" verticalDpi="1200" orientation="landscape" scale="90" r:id="rId1"/>
</worksheet>
</file>

<file path=xl/worksheets/sheet10.xml><?xml version="1.0" encoding="utf-8"?>
<worksheet xmlns="http://schemas.openxmlformats.org/spreadsheetml/2006/main" xmlns:r="http://schemas.openxmlformats.org/officeDocument/2006/relationships">
  <sheetPr>
    <tabColor indexed="24"/>
  </sheetPr>
  <dimension ref="A1:H56"/>
  <sheetViews>
    <sheetView workbookViewId="0" topLeftCell="A1">
      <selection activeCell="K7" sqref="K6:K7"/>
    </sheetView>
  </sheetViews>
  <sheetFormatPr defaultColWidth="9.140625" defaultRowHeight="12.75"/>
  <cols>
    <col min="1" max="1" width="30.7109375" style="0" customWidth="1"/>
    <col min="2" max="9" width="12.7109375" style="0" customWidth="1"/>
  </cols>
  <sheetData>
    <row r="1" ht="15.75">
      <c r="A1" s="6" t="s">
        <v>317</v>
      </c>
    </row>
    <row r="2" ht="15.75">
      <c r="A2" s="6" t="s">
        <v>202</v>
      </c>
    </row>
    <row r="3" ht="15.75">
      <c r="A3" s="6"/>
    </row>
    <row r="4" ht="15.75">
      <c r="A4" s="6"/>
    </row>
    <row r="5" ht="15.75">
      <c r="A5" s="8" t="s">
        <v>264</v>
      </c>
    </row>
    <row r="6" spans="2:8" ht="12.75">
      <c r="B6" s="72" t="s">
        <v>255</v>
      </c>
      <c r="C6" s="97"/>
      <c r="D6" s="97"/>
      <c r="E6" s="97"/>
      <c r="F6" s="72" t="s">
        <v>254</v>
      </c>
      <c r="G6" s="97"/>
      <c r="H6" s="97"/>
    </row>
    <row r="7" spans="1:8" ht="12.75">
      <c r="A7" s="175" t="s">
        <v>171</v>
      </c>
      <c r="B7" s="193" t="s">
        <v>8</v>
      </c>
      <c r="C7" s="193" t="s">
        <v>265</v>
      </c>
      <c r="D7" s="193" t="s">
        <v>9</v>
      </c>
      <c r="E7" s="194"/>
      <c r="F7" s="193" t="s">
        <v>209</v>
      </c>
      <c r="G7" s="193" t="s">
        <v>265</v>
      </c>
      <c r="H7" s="193" t="s">
        <v>210</v>
      </c>
    </row>
    <row r="8" spans="1:8" ht="12.75">
      <c r="A8" s="192" t="s">
        <v>204</v>
      </c>
      <c r="B8" s="165">
        <v>0.5</v>
      </c>
      <c r="C8" s="165">
        <v>0.5</v>
      </c>
      <c r="D8" s="165">
        <v>0.5</v>
      </c>
      <c r="E8" s="5"/>
      <c r="F8" s="165">
        <v>0.5</v>
      </c>
      <c r="G8" s="165">
        <v>0.5</v>
      </c>
      <c r="H8" s="165">
        <v>0.5</v>
      </c>
    </row>
    <row r="9" spans="1:8" ht="12.75">
      <c r="A9" s="192" t="s">
        <v>205</v>
      </c>
      <c r="B9" s="165">
        <v>0.65</v>
      </c>
      <c r="C9" s="165">
        <v>0.75</v>
      </c>
      <c r="D9" s="165">
        <v>0.75</v>
      </c>
      <c r="E9" s="5"/>
      <c r="F9" s="165">
        <v>0.65</v>
      </c>
      <c r="G9" s="165">
        <v>0.75</v>
      </c>
      <c r="H9" s="165">
        <v>0.75</v>
      </c>
    </row>
    <row r="10" spans="1:8" ht="12.75">
      <c r="A10" s="192" t="s">
        <v>206</v>
      </c>
      <c r="B10" s="165">
        <v>0.8</v>
      </c>
      <c r="C10" s="165">
        <v>1</v>
      </c>
      <c r="D10" s="165">
        <v>1</v>
      </c>
      <c r="E10" s="5"/>
      <c r="F10" s="165">
        <v>0.8</v>
      </c>
      <c r="G10" s="165">
        <v>1</v>
      </c>
      <c r="H10" s="165">
        <v>1</v>
      </c>
    </row>
    <row r="11" spans="1:8" ht="12.75">
      <c r="A11" s="192" t="s">
        <v>207</v>
      </c>
      <c r="B11" s="165">
        <v>0.9</v>
      </c>
      <c r="C11" s="165"/>
      <c r="D11" s="139"/>
      <c r="E11" s="5"/>
      <c r="F11" s="165">
        <v>0.9</v>
      </c>
      <c r="G11" s="165"/>
      <c r="H11" s="139"/>
    </row>
    <row r="12" spans="1:8" ht="12.75">
      <c r="A12" s="192" t="s">
        <v>208</v>
      </c>
      <c r="B12" s="165">
        <v>1</v>
      </c>
      <c r="C12" s="139"/>
      <c r="D12" s="139"/>
      <c r="E12" s="5"/>
      <c r="F12" s="165">
        <v>1</v>
      </c>
      <c r="G12" s="139"/>
      <c r="H12" s="139"/>
    </row>
    <row r="13" spans="1:8" ht="12.75">
      <c r="A13" s="192"/>
      <c r="B13" s="165"/>
      <c r="C13" s="139"/>
      <c r="D13" s="139"/>
      <c r="E13" s="5"/>
      <c r="F13" s="165"/>
      <c r="G13" s="139"/>
      <c r="H13" s="139"/>
    </row>
    <row r="14" spans="1:8" ht="12.75">
      <c r="A14" s="192"/>
      <c r="B14" s="165"/>
      <c r="C14" s="139"/>
      <c r="D14" s="139"/>
      <c r="E14" s="5"/>
      <c r="F14" s="165"/>
      <c r="G14" s="139"/>
      <c r="H14" s="139"/>
    </row>
    <row r="15" spans="1:8" ht="12.75">
      <c r="A15" s="5"/>
      <c r="B15" s="5"/>
      <c r="C15" s="5"/>
      <c r="D15" s="5"/>
      <c r="E15" s="5"/>
      <c r="F15" s="5"/>
      <c r="G15" s="5"/>
      <c r="H15" s="5"/>
    </row>
    <row r="16" spans="2:8" ht="12.75">
      <c r="B16" s="72" t="s">
        <v>254</v>
      </c>
      <c r="C16" s="5"/>
      <c r="D16" s="5"/>
      <c r="E16" s="5"/>
      <c r="F16" s="5"/>
      <c r="G16" s="5"/>
      <c r="H16" s="5"/>
    </row>
    <row r="17" spans="1:8" ht="12.75">
      <c r="A17" s="175" t="s">
        <v>172</v>
      </c>
      <c r="B17" s="193" t="s">
        <v>209</v>
      </c>
      <c r="C17" s="193" t="s">
        <v>265</v>
      </c>
      <c r="D17" s="193" t="s">
        <v>210</v>
      </c>
      <c r="E17" s="5"/>
      <c r="F17" s="5"/>
      <c r="G17" s="5"/>
      <c r="H17" s="5"/>
    </row>
    <row r="18" spans="1:5" ht="12.75">
      <c r="A18" s="192" t="s">
        <v>204</v>
      </c>
      <c r="B18" s="165">
        <v>0.5</v>
      </c>
      <c r="C18" s="165">
        <v>0.5</v>
      </c>
      <c r="D18" s="165">
        <v>0.5</v>
      </c>
      <c r="E18" s="5"/>
    </row>
    <row r="19" spans="1:5" ht="12.75">
      <c r="A19" s="192" t="s">
        <v>205</v>
      </c>
      <c r="B19" s="165">
        <v>0.65</v>
      </c>
      <c r="C19" s="165">
        <v>0.75</v>
      </c>
      <c r="D19" s="165">
        <v>0.75</v>
      </c>
      <c r="E19" s="5"/>
    </row>
    <row r="20" spans="1:5" ht="12.75">
      <c r="A20" s="192" t="s">
        <v>206</v>
      </c>
      <c r="B20" s="165">
        <v>0.8</v>
      </c>
      <c r="C20" s="165">
        <v>1</v>
      </c>
      <c r="D20" s="165">
        <v>1</v>
      </c>
      <c r="E20" s="5"/>
    </row>
    <row r="21" spans="1:5" ht="12.75">
      <c r="A21" s="192" t="s">
        <v>207</v>
      </c>
      <c r="B21" s="165">
        <v>0.9</v>
      </c>
      <c r="C21" s="165"/>
      <c r="D21" s="139"/>
      <c r="E21" s="5"/>
    </row>
    <row r="22" spans="1:5" ht="12.75">
      <c r="A22" s="192" t="s">
        <v>208</v>
      </c>
      <c r="B22" s="165">
        <v>1</v>
      </c>
      <c r="C22" s="139"/>
      <c r="D22" s="139"/>
      <c r="E22" s="5"/>
    </row>
    <row r="23" spans="1:8" ht="12.75">
      <c r="A23" s="5"/>
      <c r="B23" s="5"/>
      <c r="C23" s="5"/>
      <c r="D23" s="5"/>
      <c r="E23" s="5"/>
      <c r="F23" s="5"/>
      <c r="G23" s="5"/>
      <c r="H23" s="5"/>
    </row>
    <row r="25" spans="1:8" ht="12.75">
      <c r="A25" s="196" t="s">
        <v>173</v>
      </c>
      <c r="B25" s="145" t="s">
        <v>261</v>
      </c>
      <c r="C25" s="47"/>
      <c r="D25" s="47"/>
      <c r="E25" s="47"/>
      <c r="F25" s="47"/>
      <c r="G25" s="47"/>
      <c r="H25" s="47"/>
    </row>
    <row r="26" spans="1:8" ht="12.75">
      <c r="A26" s="47" t="s">
        <v>64</v>
      </c>
      <c r="B26" s="193" t="s">
        <v>209</v>
      </c>
      <c r="C26" s="193" t="s">
        <v>265</v>
      </c>
      <c r="D26" s="193" t="s">
        <v>210</v>
      </c>
      <c r="E26" s="47"/>
      <c r="F26" s="47"/>
      <c r="G26" s="47"/>
      <c r="H26" s="47"/>
    </row>
    <row r="27" spans="1:8" ht="12.75">
      <c r="A27" s="67" t="s">
        <v>204</v>
      </c>
      <c r="B27" s="71">
        <v>0.8</v>
      </c>
      <c r="C27" s="71">
        <v>0.8</v>
      </c>
      <c r="D27" s="71">
        <v>0.8</v>
      </c>
      <c r="E27" s="47"/>
      <c r="F27" s="78"/>
      <c r="G27" s="78"/>
      <c r="H27" s="78"/>
    </row>
    <row r="28" spans="1:8" ht="12.75">
      <c r="A28" s="67" t="s">
        <v>205</v>
      </c>
      <c r="B28" s="71">
        <v>0.9</v>
      </c>
      <c r="C28" s="71">
        <v>0.9</v>
      </c>
      <c r="D28" s="71">
        <v>0.9</v>
      </c>
      <c r="E28" s="47"/>
      <c r="F28" s="78"/>
      <c r="G28" s="78"/>
      <c r="H28" s="78"/>
    </row>
    <row r="29" spans="1:8" ht="12.75">
      <c r="A29" s="67" t="s">
        <v>206</v>
      </c>
      <c r="B29" s="71">
        <v>1</v>
      </c>
      <c r="C29" s="71">
        <v>1</v>
      </c>
      <c r="D29" s="71">
        <v>1</v>
      </c>
      <c r="E29" s="47"/>
      <c r="F29" s="78"/>
      <c r="G29" s="78"/>
      <c r="H29" s="78"/>
    </row>
    <row r="32" ht="15.75">
      <c r="A32" s="8" t="s">
        <v>64</v>
      </c>
    </row>
    <row r="33" spans="2:8" ht="12.75">
      <c r="B33" s="72" t="s">
        <v>255</v>
      </c>
      <c r="C33" s="97"/>
      <c r="D33" s="97"/>
      <c r="E33" s="97"/>
      <c r="F33" s="72" t="s">
        <v>254</v>
      </c>
      <c r="G33" s="97"/>
      <c r="H33" s="97"/>
    </row>
    <row r="34" spans="1:8" ht="12.75">
      <c r="A34" s="175" t="s">
        <v>171</v>
      </c>
      <c r="B34" s="193" t="s">
        <v>8</v>
      </c>
      <c r="C34" s="193" t="s">
        <v>265</v>
      </c>
      <c r="D34" s="193" t="s">
        <v>9</v>
      </c>
      <c r="E34" s="194"/>
      <c r="F34" s="193" t="s">
        <v>209</v>
      </c>
      <c r="G34" s="193" t="s">
        <v>265</v>
      </c>
      <c r="H34" s="193" t="s">
        <v>210</v>
      </c>
    </row>
    <row r="35" spans="1:8" ht="12.75">
      <c r="A35" s="5" t="s">
        <v>263</v>
      </c>
      <c r="B35" s="5"/>
      <c r="C35" s="5"/>
      <c r="D35" s="5"/>
      <c r="E35" s="5"/>
      <c r="F35" s="5"/>
      <c r="G35" s="5"/>
      <c r="H35" s="5"/>
    </row>
    <row r="36" spans="1:8" ht="12.75">
      <c r="A36" s="192" t="s">
        <v>204</v>
      </c>
      <c r="B36" s="96">
        <f>'Revenue - Summer'!B128*B8</f>
        <v>6912973.747581294</v>
      </c>
      <c r="C36" s="96">
        <f>'Revenue - Summer'!C128*C8</f>
        <v>12986909.859474108</v>
      </c>
      <c r="D36" s="96">
        <f>'Revenue - Summer'!D128*D8</f>
        <v>15725666.620614212</v>
      </c>
      <c r="E36" s="5"/>
      <c r="F36" s="94">
        <f>'Revenue - Summer'!F128*'Ramp Up'!F8</f>
        <v>4618456.95977519</v>
      </c>
      <c r="G36" s="94">
        <f>'Revenue - Summer'!G128*'Ramp Up'!G8</f>
        <v>8016575.219103772</v>
      </c>
      <c r="H36" s="94">
        <f>'Revenue - Summer'!H128*'Ramp Up'!H8</f>
        <v>9562337.57300281</v>
      </c>
    </row>
    <row r="37" spans="1:8" ht="12.75">
      <c r="A37" s="192" t="s">
        <v>205</v>
      </c>
      <c r="B37" s="94">
        <f>'Revenue - Summer'!B128*B9</f>
        <v>8986865.871855682</v>
      </c>
      <c r="C37" s="94">
        <f>'Revenue - Summer'!C128*C9</f>
        <v>19480364.78921116</v>
      </c>
      <c r="D37" s="94">
        <f>'Revenue - Summer'!D128*D9</f>
        <v>23588499.930921316</v>
      </c>
      <c r="E37" s="5"/>
      <c r="F37" s="94">
        <f>'Revenue - Summer'!F128*'Ramp Up'!F9</f>
        <v>6003994.047707747</v>
      </c>
      <c r="G37" s="94">
        <f>'Revenue - Summer'!G128*'Ramp Up'!G9</f>
        <v>12024862.828655658</v>
      </c>
      <c r="H37" s="94">
        <f>'Revenue - Summer'!H128*'Ramp Up'!H9</f>
        <v>14343506.359504215</v>
      </c>
    </row>
    <row r="38" spans="1:8" ht="12.75">
      <c r="A38" s="192" t="s">
        <v>206</v>
      </c>
      <c r="B38" s="94">
        <f>'Revenue - Summer'!B128*B10</f>
        <v>11060757.996130072</v>
      </c>
      <c r="C38" s="94">
        <f>'Revenue - Summer'!C128*C10</f>
        <v>25973819.718948215</v>
      </c>
      <c r="D38" s="94">
        <f>'Revenue - Summer'!D128*D10</f>
        <v>31451333.241228424</v>
      </c>
      <c r="E38" s="5"/>
      <c r="F38" s="94">
        <f>'Revenue - Summer'!F128*'Ramp Up'!F10</f>
        <v>7389531.135640305</v>
      </c>
      <c r="G38" s="94">
        <f>'Revenue - Summer'!G128*'Ramp Up'!G10</f>
        <v>16033150.438207544</v>
      </c>
      <c r="H38" s="94">
        <f>'Revenue - Summer'!H128*'Ramp Up'!H10</f>
        <v>19124675.14600562</v>
      </c>
    </row>
    <row r="39" spans="1:8" ht="12.75">
      <c r="A39" s="192" t="s">
        <v>207</v>
      </c>
      <c r="B39" s="94">
        <f>'Revenue - Summer'!B128*B11</f>
        <v>12443352.74564633</v>
      </c>
      <c r="C39" s="165"/>
      <c r="D39" s="139"/>
      <c r="E39" s="5"/>
      <c r="F39" s="94">
        <f>'Revenue - Summer'!F128*'Ramp Up'!F11</f>
        <v>8313222.527595342</v>
      </c>
      <c r="G39" s="165"/>
      <c r="H39" s="139"/>
    </row>
    <row r="40" spans="1:8" ht="12.75">
      <c r="A40" s="192" t="s">
        <v>208</v>
      </c>
      <c r="B40" s="94">
        <f>'Revenue - Summer'!B128*B12</f>
        <v>13825947.495162588</v>
      </c>
      <c r="C40" s="139"/>
      <c r="D40" s="139"/>
      <c r="E40" s="5"/>
      <c r="F40" s="94">
        <f>'Revenue - Summer'!F128*'Ramp Up'!F12</f>
        <v>9236913.91955038</v>
      </c>
      <c r="G40" s="139"/>
      <c r="H40" s="139"/>
    </row>
    <row r="41" spans="1:8" ht="12.75">
      <c r="A41" s="5"/>
      <c r="B41" s="5"/>
      <c r="C41" s="5"/>
      <c r="D41" s="5"/>
      <c r="E41" s="5"/>
      <c r="F41" s="5"/>
      <c r="G41" s="5"/>
      <c r="H41" s="5"/>
    </row>
    <row r="42" spans="2:8" ht="12.75">
      <c r="B42" s="5"/>
      <c r="C42" s="5"/>
      <c r="D42" s="5"/>
      <c r="E42" s="5"/>
      <c r="F42" s="5"/>
      <c r="G42" s="5"/>
      <c r="H42" s="5"/>
    </row>
    <row r="43" spans="1:8" ht="12.75">
      <c r="A43" s="175" t="s">
        <v>172</v>
      </c>
      <c r="B43" s="72" t="s">
        <v>254</v>
      </c>
      <c r="C43" s="5"/>
      <c r="D43" s="5"/>
      <c r="E43" s="5"/>
      <c r="F43" s="5"/>
      <c r="G43" s="5"/>
      <c r="H43" s="5"/>
    </row>
    <row r="44" spans="1:8" ht="12.75">
      <c r="A44" s="5" t="s">
        <v>263</v>
      </c>
      <c r="B44" s="193" t="s">
        <v>209</v>
      </c>
      <c r="C44" s="193" t="s">
        <v>265</v>
      </c>
      <c r="D44" s="193" t="s">
        <v>210</v>
      </c>
      <c r="E44" s="5"/>
      <c r="F44" s="5"/>
      <c r="G44" s="5"/>
      <c r="H44" s="5"/>
    </row>
    <row r="45" spans="1:5" ht="12.75">
      <c r="A45" s="192" t="s">
        <v>204</v>
      </c>
      <c r="B45" s="94">
        <f>'Revenue - Winter'!B93*'Ramp Up'!B18</f>
        <v>656697.2602368527</v>
      </c>
      <c r="C45" s="94">
        <f>'Revenue - Winter'!C93*'Ramp Up'!C18</f>
        <v>1094495.4337280877</v>
      </c>
      <c r="D45" s="94">
        <f>'Revenue - Winter'!D93*'Ramp Up'!D18</f>
        <v>1532293.607219323</v>
      </c>
      <c r="E45" s="5"/>
    </row>
    <row r="46" spans="1:5" ht="12.75">
      <c r="A46" s="192" t="s">
        <v>205</v>
      </c>
      <c r="B46" s="94">
        <f>'Revenue - Winter'!B93*'Ramp Up'!B19</f>
        <v>853706.4383079085</v>
      </c>
      <c r="C46" s="94">
        <f>'Revenue - Winter'!C93*'Ramp Up'!C19</f>
        <v>1641743.1505921315</v>
      </c>
      <c r="D46" s="94">
        <f>'Revenue - Winter'!D93*'Ramp Up'!D19</f>
        <v>2298440.4108289843</v>
      </c>
      <c r="E46" s="5"/>
    </row>
    <row r="47" spans="1:5" ht="12.75">
      <c r="A47" s="192" t="s">
        <v>206</v>
      </c>
      <c r="B47" s="94">
        <f>'Revenue - Winter'!B93*'Ramp Up'!B20</f>
        <v>1050715.6163789644</v>
      </c>
      <c r="C47" s="94">
        <f>'Revenue - Winter'!C93*'Ramp Up'!C20</f>
        <v>2188990.8674561754</v>
      </c>
      <c r="D47" s="94">
        <f>'Revenue - Winter'!D93*'Ramp Up'!D20</f>
        <v>3064587.214438646</v>
      </c>
      <c r="E47" s="5"/>
    </row>
    <row r="48" spans="1:5" ht="12.75">
      <c r="A48" s="192" t="s">
        <v>207</v>
      </c>
      <c r="B48" s="94">
        <f>'Revenue - Winter'!B93*'Ramp Up'!B21</f>
        <v>1182055.0684263348</v>
      </c>
      <c r="C48" s="165"/>
      <c r="D48" s="139"/>
      <c r="E48" s="5"/>
    </row>
    <row r="49" spans="1:5" ht="12.75">
      <c r="A49" s="192" t="s">
        <v>208</v>
      </c>
      <c r="B49" s="94">
        <f>'Revenue - Winter'!B93*'Ramp Up'!B22</f>
        <v>1313394.5204737054</v>
      </c>
      <c r="C49" s="139"/>
      <c r="D49" s="139"/>
      <c r="E49" s="5"/>
    </row>
    <row r="50" spans="1:8" ht="12.75">
      <c r="A50" s="5"/>
      <c r="B50" s="5"/>
      <c r="C50" s="5"/>
      <c r="D50" s="5"/>
      <c r="E50" s="5"/>
      <c r="F50" s="5"/>
      <c r="G50" s="5"/>
      <c r="H50" s="5"/>
    </row>
    <row r="51" spans="1:8" ht="12.75">
      <c r="A51" s="5"/>
      <c r="B51" s="5"/>
      <c r="C51" s="5"/>
      <c r="D51" s="5"/>
      <c r="E51" s="5"/>
      <c r="F51" s="5"/>
      <c r="G51" s="5"/>
      <c r="H51" s="5"/>
    </row>
    <row r="52" spans="1:8" ht="12.75">
      <c r="A52" s="196" t="s">
        <v>173</v>
      </c>
      <c r="B52" s="145" t="s">
        <v>261</v>
      </c>
      <c r="C52" s="47"/>
      <c r="D52" s="47"/>
      <c r="E52" s="47"/>
      <c r="F52" s="47"/>
      <c r="G52" s="47"/>
      <c r="H52" s="47"/>
    </row>
    <row r="53" spans="1:8" ht="12.75">
      <c r="A53" s="47" t="s">
        <v>64</v>
      </c>
      <c r="B53" s="193" t="s">
        <v>209</v>
      </c>
      <c r="C53" s="193" t="s">
        <v>265</v>
      </c>
      <c r="D53" s="193" t="s">
        <v>210</v>
      </c>
      <c r="E53" s="47"/>
      <c r="F53" s="47"/>
      <c r="G53" s="47"/>
      <c r="H53" s="47"/>
    </row>
    <row r="54" spans="1:8" ht="12.75">
      <c r="A54" s="67" t="s">
        <v>204</v>
      </c>
      <c r="B54" s="81">
        <f>'Revenue - Private Rail'!B31*'Ramp Up'!B27</f>
        <v>1078272</v>
      </c>
      <c r="C54" s="81">
        <f>'Revenue - Private Rail'!C31*'Ramp Up'!C27</f>
        <v>1437696</v>
      </c>
      <c r="D54" s="81">
        <f>'Revenue - Private Rail'!D31*'Ramp Up'!D27</f>
        <v>1797120</v>
      </c>
      <c r="E54" s="47"/>
      <c r="F54" s="78"/>
      <c r="G54" s="78"/>
      <c r="H54" s="78"/>
    </row>
    <row r="55" spans="1:8" ht="12.75">
      <c r="A55" s="67" t="s">
        <v>205</v>
      </c>
      <c r="B55" s="81">
        <f>'Revenue - Private Rail'!B31*'Ramp Up'!B28</f>
        <v>1213056</v>
      </c>
      <c r="C55" s="81">
        <f>'Revenue - Private Rail'!C31*'Ramp Up'!C28</f>
        <v>1617408</v>
      </c>
      <c r="D55" s="81">
        <f>'Revenue - Private Rail'!D31*'Ramp Up'!D28</f>
        <v>2021760</v>
      </c>
      <c r="E55" s="47"/>
      <c r="F55" s="78"/>
      <c r="G55" s="78"/>
      <c r="H55" s="78"/>
    </row>
    <row r="56" spans="1:8" ht="12.75">
      <c r="A56" s="67" t="s">
        <v>206</v>
      </c>
      <c r="B56" s="81">
        <f>'Revenue - Private Rail'!B31*'Ramp Up'!B29</f>
        <v>1347840</v>
      </c>
      <c r="C56" s="81">
        <f>'Revenue - Private Rail'!C31*'Ramp Up'!C29</f>
        <v>1797120</v>
      </c>
      <c r="D56" s="81">
        <f>'Revenue - Private Rail'!D31*'Ramp Up'!D29</f>
        <v>2246400</v>
      </c>
      <c r="E56" s="47"/>
      <c r="F56" s="78"/>
      <c r="G56" s="78"/>
      <c r="H56" s="78"/>
    </row>
  </sheetData>
  <printOptions/>
  <pageMargins left="0.75" right="0.75" top="1" bottom="1" header="0.5" footer="0.5"/>
  <pageSetup horizontalDpi="300" verticalDpi="300" orientation="landscape" r:id="rId1"/>
  <rowBreaks count="1" manualBreakCount="1">
    <brk id="31" max="255" man="1"/>
  </rowBreaks>
</worksheet>
</file>

<file path=xl/worksheets/sheet11.xml><?xml version="1.0" encoding="utf-8"?>
<worksheet xmlns="http://schemas.openxmlformats.org/spreadsheetml/2006/main" xmlns:r="http://schemas.openxmlformats.org/officeDocument/2006/relationships">
  <sheetPr>
    <tabColor indexed="24"/>
  </sheetPr>
  <dimension ref="A1:L85"/>
  <sheetViews>
    <sheetView workbookViewId="0" topLeftCell="A1">
      <selection activeCell="A1" sqref="A1"/>
    </sheetView>
  </sheetViews>
  <sheetFormatPr defaultColWidth="9.140625" defaultRowHeight="12.75"/>
  <cols>
    <col min="1" max="1" width="30.7109375" style="0" customWidth="1"/>
    <col min="2" max="12" width="12.7109375" style="0" customWidth="1"/>
  </cols>
  <sheetData>
    <row r="1" spans="1:2" ht="15.75">
      <c r="A1" s="6" t="s">
        <v>317</v>
      </c>
      <c r="B1" s="6"/>
    </row>
    <row r="2" ht="15.75">
      <c r="A2" s="6" t="s">
        <v>203</v>
      </c>
    </row>
    <row r="3" ht="15.75">
      <c r="A3" s="6"/>
    </row>
    <row r="4" ht="15.75">
      <c r="A4" s="6"/>
    </row>
    <row r="5" ht="12.75">
      <c r="B5" s="3" t="s">
        <v>255</v>
      </c>
    </row>
    <row r="6" spans="2:4" ht="12.75">
      <c r="B6" s="73" t="s">
        <v>8</v>
      </c>
      <c r="C6" s="73" t="s">
        <v>265</v>
      </c>
      <c r="D6" s="73" t="s">
        <v>9</v>
      </c>
    </row>
    <row r="7" ht="12.75">
      <c r="A7" s="3" t="s">
        <v>171</v>
      </c>
    </row>
    <row r="8" spans="1:5" ht="12.75">
      <c r="A8" s="67" t="s">
        <v>283</v>
      </c>
      <c r="B8" s="81">
        <f>'Revenue Summary'!C7</f>
        <v>13825947.495162588</v>
      </c>
      <c r="C8" s="81">
        <f>'Revenue Summary'!D7</f>
        <v>25973819.718948215</v>
      </c>
      <c r="D8" s="81">
        <f>'Revenue Summary'!E7</f>
        <v>31451333.241228424</v>
      </c>
      <c r="E8" s="106"/>
    </row>
    <row r="9" spans="1:4" ht="12.75">
      <c r="A9" s="223" t="s">
        <v>284</v>
      </c>
      <c r="B9" s="70">
        <f>'Revenue - Summer'!B34</f>
        <v>9224.7</v>
      </c>
      <c r="C9" s="70">
        <f>'Revenue - Summer'!C34</f>
        <v>17371.6</v>
      </c>
      <c r="D9" s="70">
        <f>'Revenue - Summer'!D34</f>
        <v>21365.8</v>
      </c>
    </row>
    <row r="10" spans="1:4" ht="12.75">
      <c r="A10" s="223" t="s">
        <v>285</v>
      </c>
      <c r="B10" s="222">
        <f>B8/B9</f>
        <v>1498.7964373001385</v>
      </c>
      <c r="C10" s="222">
        <f>C8/C9</f>
        <v>1495.1886826169275</v>
      </c>
      <c r="D10" s="222">
        <f>D8/D9</f>
        <v>1472.040983311106</v>
      </c>
    </row>
    <row r="13" ht="12.75">
      <c r="A13" s="3" t="s">
        <v>172</v>
      </c>
    </row>
    <row r="14" spans="1:4" ht="12.75">
      <c r="A14" s="67" t="s">
        <v>283</v>
      </c>
      <c r="B14" s="94">
        <f>'Revenue Summary'!C9</f>
        <v>1313394.5204737054</v>
      </c>
      <c r="C14" s="94">
        <f>'Revenue Summary'!D9</f>
        <v>2188990.8674561754</v>
      </c>
      <c r="D14" s="94">
        <f>'Revenue Summary'!E9</f>
        <v>3064587.214438646</v>
      </c>
    </row>
    <row r="15" spans="1:4" ht="12.75">
      <c r="A15" s="223" t="s">
        <v>284</v>
      </c>
      <c r="B15" s="164">
        <f>'Revenue - Winter'!B27</f>
        <v>2223.6</v>
      </c>
      <c r="C15" s="164">
        <f>'Revenue - Winter'!C27</f>
        <v>3706</v>
      </c>
      <c r="D15" s="164">
        <f>'Revenue - Winter'!D27</f>
        <v>5188.4</v>
      </c>
    </row>
    <row r="16" spans="1:4" ht="12.75">
      <c r="A16" s="223" t="s">
        <v>285</v>
      </c>
      <c r="B16" s="222">
        <f>B14/B15</f>
        <v>590.6613241921683</v>
      </c>
      <c r="C16" s="222">
        <f>C14/C15</f>
        <v>590.6613241921682</v>
      </c>
      <c r="D16" s="222">
        <f>D14/D15</f>
        <v>590.6613241921683</v>
      </c>
    </row>
    <row r="17" ht="15.75">
      <c r="A17" s="6"/>
    </row>
    <row r="18" spans="1:2" ht="12.75">
      <c r="A18" s="175"/>
      <c r="B18" s="175"/>
    </row>
    <row r="19" spans="1:7" ht="12.75">
      <c r="A19" s="175" t="s">
        <v>288</v>
      </c>
      <c r="B19" s="47"/>
      <c r="C19" s="47"/>
      <c r="D19" s="47"/>
      <c r="E19" s="47"/>
      <c r="F19" s="47"/>
      <c r="G19" s="47"/>
    </row>
    <row r="20" spans="1:12" ht="36" customHeight="1">
      <c r="A20" s="3"/>
      <c r="B20" s="193" t="s">
        <v>204</v>
      </c>
      <c r="C20" s="193" t="s">
        <v>205</v>
      </c>
      <c r="D20" s="193" t="s">
        <v>206</v>
      </c>
      <c r="E20" s="193" t="s">
        <v>207</v>
      </c>
      <c r="F20" s="193" t="s">
        <v>208</v>
      </c>
      <c r="G20" s="195" t="s">
        <v>278</v>
      </c>
      <c r="H20" s="193" t="s">
        <v>272</v>
      </c>
      <c r="I20" s="193" t="s">
        <v>273</v>
      </c>
      <c r="J20" s="193" t="s">
        <v>274</v>
      </c>
      <c r="K20" s="193" t="s">
        <v>275</v>
      </c>
      <c r="L20" s="195" t="s">
        <v>287</v>
      </c>
    </row>
    <row r="21" spans="1:7" ht="12.75">
      <c r="A21" s="145" t="s">
        <v>211</v>
      </c>
      <c r="B21" s="47"/>
      <c r="C21" s="47"/>
      <c r="D21" s="47"/>
      <c r="E21" s="47"/>
      <c r="F21" s="47"/>
      <c r="G21" s="47"/>
    </row>
    <row r="22" spans="1:7" ht="12.75">
      <c r="A22" s="47" t="s">
        <v>171</v>
      </c>
      <c r="B22" s="47"/>
      <c r="C22" s="47"/>
      <c r="D22" s="47"/>
      <c r="E22" s="47"/>
      <c r="F22" s="47"/>
      <c r="G22" s="47"/>
    </row>
    <row r="23" spans="1:12" ht="12.75">
      <c r="A23" s="67" t="s">
        <v>268</v>
      </c>
      <c r="B23" s="197" t="s">
        <v>276</v>
      </c>
      <c r="C23" s="197"/>
      <c r="D23" s="197"/>
      <c r="E23" s="197"/>
      <c r="F23" s="197"/>
      <c r="G23" s="197">
        <v>0.005</v>
      </c>
      <c r="H23" s="197">
        <v>0.005</v>
      </c>
      <c r="I23" s="197">
        <v>0.005</v>
      </c>
      <c r="J23" s="197">
        <v>0.005</v>
      </c>
      <c r="K23" s="197">
        <v>0.005</v>
      </c>
      <c r="L23" s="197">
        <v>0.003</v>
      </c>
    </row>
    <row r="24" spans="1:12" ht="12.75">
      <c r="A24" s="67" t="s">
        <v>269</v>
      </c>
      <c r="B24" s="197" t="s">
        <v>277</v>
      </c>
      <c r="C24" s="197"/>
      <c r="D24" s="197"/>
      <c r="E24" s="197"/>
      <c r="F24" s="197"/>
      <c r="G24" s="197">
        <v>0.015</v>
      </c>
      <c r="H24" s="197">
        <v>0.015</v>
      </c>
      <c r="I24" s="197">
        <v>0.015</v>
      </c>
      <c r="J24" s="197">
        <v>0.015</v>
      </c>
      <c r="K24" s="197">
        <v>0.015</v>
      </c>
      <c r="L24" s="197">
        <v>0.007</v>
      </c>
    </row>
    <row r="25" spans="1:7" ht="12.75">
      <c r="A25" s="47" t="s">
        <v>172</v>
      </c>
      <c r="B25" s="47"/>
      <c r="C25" s="47"/>
      <c r="D25" s="47"/>
      <c r="E25" s="47"/>
      <c r="F25" s="47"/>
      <c r="G25" s="47"/>
    </row>
    <row r="26" spans="1:12" ht="12.75">
      <c r="A26" s="67" t="s">
        <v>268</v>
      </c>
      <c r="B26" s="197" t="s">
        <v>276</v>
      </c>
      <c r="C26" s="98"/>
      <c r="D26" s="98"/>
      <c r="E26" s="98"/>
      <c r="F26" s="98"/>
      <c r="G26" s="197">
        <v>0.005</v>
      </c>
      <c r="H26" s="197">
        <v>0.005</v>
      </c>
      <c r="I26" s="197">
        <v>0.005</v>
      </c>
      <c r="J26" s="197">
        <v>0.005</v>
      </c>
      <c r="K26" s="197">
        <v>0.005</v>
      </c>
      <c r="L26" s="197">
        <v>0.003</v>
      </c>
    </row>
    <row r="27" spans="1:12" ht="12.75">
      <c r="A27" s="67" t="s">
        <v>269</v>
      </c>
      <c r="B27" s="197" t="s">
        <v>277</v>
      </c>
      <c r="C27" s="98"/>
      <c r="D27" s="98"/>
      <c r="E27" s="98"/>
      <c r="F27" s="98"/>
      <c r="G27" s="197">
        <v>0.015</v>
      </c>
      <c r="H27" s="197">
        <v>0.015</v>
      </c>
      <c r="I27" s="197">
        <v>0.015</v>
      </c>
      <c r="J27" s="197">
        <v>0.015</v>
      </c>
      <c r="K27" s="197">
        <v>0.015</v>
      </c>
      <c r="L27" s="197">
        <v>0.007</v>
      </c>
    </row>
    <row r="28" spans="1:7" ht="12.75">
      <c r="A28" s="67"/>
      <c r="B28" s="78"/>
      <c r="C28" s="78"/>
      <c r="D28" s="78"/>
      <c r="E28" s="78"/>
      <c r="F28" s="78"/>
      <c r="G28" s="78"/>
    </row>
    <row r="29" spans="1:12" ht="12.75">
      <c r="A29" s="47" t="s">
        <v>173</v>
      </c>
      <c r="B29" s="71" t="s">
        <v>279</v>
      </c>
      <c r="C29" s="71"/>
      <c r="D29" s="197">
        <v>0.025</v>
      </c>
      <c r="E29" s="197">
        <v>0.025</v>
      </c>
      <c r="F29" s="197">
        <v>0.025</v>
      </c>
      <c r="G29" s="197">
        <v>0.02</v>
      </c>
      <c r="H29" s="218">
        <v>0.02</v>
      </c>
      <c r="I29" s="218">
        <v>0.02</v>
      </c>
      <c r="J29" s="218">
        <v>0.02</v>
      </c>
      <c r="K29" s="218">
        <v>0.02</v>
      </c>
      <c r="L29" s="218">
        <v>0.02</v>
      </c>
    </row>
    <row r="30" spans="1:7" ht="12.75">
      <c r="A30" s="47"/>
      <c r="B30" s="47"/>
      <c r="C30" s="47"/>
      <c r="D30" s="47"/>
      <c r="E30" s="47"/>
      <c r="F30" s="47"/>
      <c r="G30" s="47"/>
    </row>
    <row r="31" spans="1:7" ht="12.75">
      <c r="A31" s="145" t="s">
        <v>266</v>
      </c>
      <c r="B31" s="47"/>
      <c r="C31" s="47"/>
      <c r="D31" s="47"/>
      <c r="E31" s="47"/>
      <c r="F31" s="47"/>
      <c r="G31" s="47"/>
    </row>
    <row r="32" spans="1:7" ht="12.75">
      <c r="A32" s="47" t="s">
        <v>171</v>
      </c>
      <c r="B32" s="47"/>
      <c r="C32" s="47"/>
      <c r="D32" s="47"/>
      <c r="E32" s="47"/>
      <c r="F32" s="47"/>
      <c r="G32" s="47"/>
    </row>
    <row r="33" spans="1:12" ht="12.75">
      <c r="A33" s="67" t="s">
        <v>268</v>
      </c>
      <c r="B33" s="219" t="s">
        <v>279</v>
      </c>
      <c r="C33" s="197"/>
      <c r="D33" s="197"/>
      <c r="E33" s="197">
        <v>0.01</v>
      </c>
      <c r="F33" s="197">
        <v>0.01</v>
      </c>
      <c r="G33" s="197">
        <v>0.01</v>
      </c>
      <c r="H33" s="197">
        <v>0.01</v>
      </c>
      <c r="I33" s="197">
        <v>0.01</v>
      </c>
      <c r="J33" s="197">
        <v>0.01</v>
      </c>
      <c r="K33" s="197">
        <v>0.01</v>
      </c>
      <c r="L33" s="197">
        <v>0.01</v>
      </c>
    </row>
    <row r="34" spans="1:12" ht="12.75">
      <c r="A34" s="67" t="s">
        <v>269</v>
      </c>
      <c r="B34" s="219" t="s">
        <v>280</v>
      </c>
      <c r="C34" s="197"/>
      <c r="D34" s="197"/>
      <c r="E34" s="197">
        <v>0.02</v>
      </c>
      <c r="F34" s="197">
        <v>0.02</v>
      </c>
      <c r="G34" s="197">
        <v>0.02</v>
      </c>
      <c r="H34" s="197">
        <v>0.02</v>
      </c>
      <c r="I34" s="197">
        <v>0.02</v>
      </c>
      <c r="J34" s="197">
        <v>0.02</v>
      </c>
      <c r="K34" s="197">
        <v>0.02</v>
      </c>
      <c r="L34" s="197">
        <v>0.01</v>
      </c>
    </row>
    <row r="35" spans="1:7" ht="12.75">
      <c r="A35" s="47" t="s">
        <v>172</v>
      </c>
      <c r="B35" s="47"/>
      <c r="C35" s="47"/>
      <c r="D35" s="47"/>
      <c r="E35" s="47"/>
      <c r="F35" s="47"/>
      <c r="G35" s="47"/>
    </row>
    <row r="36" spans="1:12" ht="12.75">
      <c r="A36" s="67" t="s">
        <v>268</v>
      </c>
      <c r="B36" s="98" t="s">
        <v>279</v>
      </c>
      <c r="C36" s="98"/>
      <c r="D36" s="98"/>
      <c r="E36" s="197">
        <v>0.01</v>
      </c>
      <c r="F36" s="197">
        <v>0.01</v>
      </c>
      <c r="G36" s="197">
        <v>0.01</v>
      </c>
      <c r="H36" s="197">
        <v>0.01</v>
      </c>
      <c r="I36" s="197">
        <v>0.01</v>
      </c>
      <c r="J36" s="197">
        <v>0.01</v>
      </c>
      <c r="K36" s="197">
        <v>0.01</v>
      </c>
      <c r="L36" s="197">
        <v>0.01</v>
      </c>
    </row>
    <row r="37" spans="1:12" ht="12.75">
      <c r="A37" s="67" t="s">
        <v>269</v>
      </c>
      <c r="B37" s="98" t="s">
        <v>280</v>
      </c>
      <c r="C37" s="98"/>
      <c r="D37" s="98"/>
      <c r="E37" s="197">
        <v>0.02</v>
      </c>
      <c r="F37" s="197">
        <v>0.02</v>
      </c>
      <c r="G37" s="197">
        <v>0.02</v>
      </c>
      <c r="H37" s="197">
        <v>0.02</v>
      </c>
      <c r="I37" s="197">
        <v>0.02</v>
      </c>
      <c r="J37" s="197">
        <v>0.02</v>
      </c>
      <c r="K37" s="197">
        <v>0.02</v>
      </c>
      <c r="L37" s="197">
        <v>0.01</v>
      </c>
    </row>
    <row r="38" ht="12.75">
      <c r="A38" s="67"/>
    </row>
    <row r="39" spans="1:12" ht="12.75">
      <c r="A39" s="47" t="s">
        <v>173</v>
      </c>
      <c r="B39" s="98" t="s">
        <v>279</v>
      </c>
      <c r="C39" s="98"/>
      <c r="D39" s="197">
        <v>0.03</v>
      </c>
      <c r="E39" s="197">
        <v>0.03</v>
      </c>
      <c r="F39" s="197">
        <v>0.03</v>
      </c>
      <c r="G39" s="197">
        <v>0.025</v>
      </c>
      <c r="H39" s="197">
        <v>0.025</v>
      </c>
      <c r="I39" s="197">
        <v>0.025</v>
      </c>
      <c r="J39" s="197">
        <v>0.025</v>
      </c>
      <c r="K39" s="197">
        <v>0.025</v>
      </c>
      <c r="L39" s="197">
        <v>0.025</v>
      </c>
    </row>
    <row r="40" spans="1:7" ht="12.75">
      <c r="A40" s="47"/>
      <c r="B40" s="47"/>
      <c r="C40" s="47"/>
      <c r="D40" s="47"/>
      <c r="E40" s="47"/>
      <c r="F40" s="47"/>
      <c r="G40" s="47"/>
    </row>
    <row r="41" spans="1:7" ht="12.75">
      <c r="A41" s="145" t="s">
        <v>212</v>
      </c>
      <c r="B41" s="47"/>
      <c r="C41" s="47"/>
      <c r="D41" s="47"/>
      <c r="E41" s="47"/>
      <c r="F41" s="47"/>
      <c r="G41" s="47"/>
    </row>
    <row r="42" spans="1:7" ht="12.75">
      <c r="A42" s="47" t="s">
        <v>171</v>
      </c>
      <c r="B42" s="47"/>
      <c r="C42" s="47"/>
      <c r="D42" s="47"/>
      <c r="E42" s="47"/>
      <c r="F42" s="47"/>
      <c r="G42" s="47"/>
    </row>
    <row r="43" spans="1:12" ht="12.75">
      <c r="A43" s="67" t="s">
        <v>268</v>
      </c>
      <c r="B43" s="219" t="s">
        <v>279</v>
      </c>
      <c r="C43" s="98"/>
      <c r="D43" s="98"/>
      <c r="E43" s="197">
        <v>0.02</v>
      </c>
      <c r="F43" s="197">
        <v>0.02</v>
      </c>
      <c r="G43" s="197">
        <v>0.02</v>
      </c>
      <c r="H43" s="197">
        <v>0.02</v>
      </c>
      <c r="I43" s="197">
        <v>0.02</v>
      </c>
      <c r="J43" s="197">
        <v>0.02</v>
      </c>
      <c r="K43" s="197">
        <v>0.02</v>
      </c>
      <c r="L43" s="197">
        <v>0.015</v>
      </c>
    </row>
    <row r="44" spans="1:12" ht="12.75">
      <c r="A44" s="67" t="s">
        <v>269</v>
      </c>
      <c r="B44" s="219" t="s">
        <v>280</v>
      </c>
      <c r="C44" s="98"/>
      <c r="D44" s="98"/>
      <c r="E44" s="197">
        <v>0.02</v>
      </c>
      <c r="F44" s="197">
        <v>0.02</v>
      </c>
      <c r="G44" s="197">
        <v>0.02</v>
      </c>
      <c r="H44" s="197">
        <v>0.02</v>
      </c>
      <c r="I44" s="197">
        <v>0.02</v>
      </c>
      <c r="J44" s="197">
        <v>0.02</v>
      </c>
      <c r="K44" s="197">
        <v>0.02</v>
      </c>
      <c r="L44" s="197">
        <v>0.015</v>
      </c>
    </row>
    <row r="45" spans="1:7" ht="12.75">
      <c r="A45" s="47" t="s">
        <v>172</v>
      </c>
      <c r="B45" s="47"/>
      <c r="C45" s="47"/>
      <c r="D45" s="47"/>
      <c r="E45" s="47"/>
      <c r="F45" s="47"/>
      <c r="G45" s="47"/>
    </row>
    <row r="46" spans="1:12" ht="12.75">
      <c r="A46" s="67" t="s">
        <v>268</v>
      </c>
      <c r="B46" s="98" t="s">
        <v>279</v>
      </c>
      <c r="C46" s="98"/>
      <c r="D46" s="98"/>
      <c r="E46" s="197">
        <v>0.02</v>
      </c>
      <c r="F46" s="197">
        <v>0.02</v>
      </c>
      <c r="G46" s="197">
        <v>0.02</v>
      </c>
      <c r="H46" s="197">
        <v>0.02</v>
      </c>
      <c r="I46" s="197">
        <v>0.02</v>
      </c>
      <c r="J46" s="197">
        <v>0.02</v>
      </c>
      <c r="K46" s="197">
        <v>0.02</v>
      </c>
      <c r="L46" s="197">
        <v>0.015</v>
      </c>
    </row>
    <row r="47" spans="1:12" ht="12.75">
      <c r="A47" s="67" t="s">
        <v>269</v>
      </c>
      <c r="B47" s="98" t="s">
        <v>280</v>
      </c>
      <c r="C47" s="98"/>
      <c r="D47" s="98"/>
      <c r="E47" s="197">
        <v>0.02</v>
      </c>
      <c r="F47" s="197">
        <v>0.02</v>
      </c>
      <c r="G47" s="197">
        <v>0.02</v>
      </c>
      <c r="H47" s="197">
        <v>0.02</v>
      </c>
      <c r="I47" s="197">
        <v>0.02</v>
      </c>
      <c r="J47" s="197">
        <v>0.02</v>
      </c>
      <c r="K47" s="197">
        <v>0.02</v>
      </c>
      <c r="L47" s="197">
        <v>0.015</v>
      </c>
    </row>
    <row r="48" spans="1:7" ht="12.75">
      <c r="A48" s="47"/>
      <c r="B48" s="47"/>
      <c r="C48" s="47"/>
      <c r="D48" s="47"/>
      <c r="E48" s="47"/>
      <c r="F48" s="47"/>
      <c r="G48" s="47"/>
    </row>
    <row r="49" spans="1:12" ht="12.75">
      <c r="A49" s="47" t="s">
        <v>173</v>
      </c>
      <c r="B49" s="98" t="s">
        <v>279</v>
      </c>
      <c r="C49" s="98"/>
      <c r="D49" s="197">
        <v>0.03</v>
      </c>
      <c r="E49" s="197">
        <v>0.03</v>
      </c>
      <c r="F49" s="197">
        <v>0.03</v>
      </c>
      <c r="G49" s="197">
        <v>0.03</v>
      </c>
      <c r="H49" s="197">
        <v>0.03</v>
      </c>
      <c r="I49" s="197">
        <v>0.03</v>
      </c>
      <c r="J49" s="197">
        <v>0.03</v>
      </c>
      <c r="K49" s="197">
        <v>0.03</v>
      </c>
      <c r="L49" s="197">
        <v>0.03</v>
      </c>
    </row>
    <row r="50" spans="1:7" ht="12.75">
      <c r="A50" s="47"/>
      <c r="B50" s="47"/>
      <c r="C50" s="47"/>
      <c r="D50" s="47"/>
      <c r="E50" s="47"/>
      <c r="F50" s="47"/>
      <c r="G50" s="47"/>
    </row>
    <row r="51" spans="1:7" ht="12.75">
      <c r="A51" s="47"/>
      <c r="B51" s="47"/>
      <c r="C51" s="47"/>
      <c r="D51" s="47"/>
      <c r="E51" s="47"/>
      <c r="F51" s="47"/>
      <c r="G51" s="47"/>
    </row>
    <row r="52" spans="1:7" ht="12.75">
      <c r="A52" s="175" t="s">
        <v>213</v>
      </c>
      <c r="B52" s="47"/>
      <c r="C52" s="47"/>
      <c r="D52" s="47"/>
      <c r="E52" s="47"/>
      <c r="F52" s="47"/>
      <c r="G52" s="47"/>
    </row>
    <row r="53" spans="1:12" ht="36" customHeight="1">
      <c r="A53" s="47"/>
      <c r="B53" s="193" t="s">
        <v>204</v>
      </c>
      <c r="C53" s="193" t="s">
        <v>205</v>
      </c>
      <c r="D53" s="193" t="s">
        <v>206</v>
      </c>
      <c r="E53" s="193" t="s">
        <v>207</v>
      </c>
      <c r="F53" s="193" t="s">
        <v>208</v>
      </c>
      <c r="G53" s="195" t="s">
        <v>278</v>
      </c>
      <c r="H53" s="193" t="s">
        <v>272</v>
      </c>
      <c r="I53" s="193" t="s">
        <v>273</v>
      </c>
      <c r="J53" s="193" t="s">
        <v>274</v>
      </c>
      <c r="K53" s="193" t="s">
        <v>275</v>
      </c>
      <c r="L53" s="195" t="s">
        <v>287</v>
      </c>
    </row>
    <row r="54" spans="1:7" ht="12.75">
      <c r="A54" s="145" t="s">
        <v>211</v>
      </c>
      <c r="B54" s="47"/>
      <c r="C54" s="47"/>
      <c r="D54" s="47"/>
      <c r="E54" s="47"/>
      <c r="F54" s="47"/>
      <c r="G54" s="47"/>
    </row>
    <row r="55" spans="1:7" ht="12.75">
      <c r="A55" s="47" t="s">
        <v>171</v>
      </c>
      <c r="B55" s="47"/>
      <c r="C55" s="47"/>
      <c r="D55" s="47"/>
      <c r="E55" s="47"/>
      <c r="F55" s="47"/>
      <c r="G55" s="47"/>
    </row>
    <row r="56" spans="1:12" ht="12.75">
      <c r="A56" s="67" t="s">
        <v>281</v>
      </c>
      <c r="B56" s="81">
        <f>'Ramp Up'!B36</f>
        <v>6912973.747581294</v>
      </c>
      <c r="C56" s="81">
        <f>'Ramp Up'!B37</f>
        <v>8986865.871855682</v>
      </c>
      <c r="D56" s="81">
        <f>'Ramp Up'!B38</f>
        <v>11060757.996130072</v>
      </c>
      <c r="E56" s="81">
        <f>'Ramp Up'!B39</f>
        <v>12443352.74564633</v>
      </c>
      <c r="F56" s="81">
        <f>'Ramp Up'!B40</f>
        <v>13825947.495162588</v>
      </c>
      <c r="G56" s="81">
        <f>(B9*1.005)*(B10*1.015)</f>
        <v>14103503.391127976</v>
      </c>
      <c r="H56" s="81">
        <f>G56*1.02</f>
        <v>14385573.458950536</v>
      </c>
      <c r="I56" s="81">
        <f>H56*1.02</f>
        <v>14673284.928129548</v>
      </c>
      <c r="J56" s="81">
        <f>I56*1.02</f>
        <v>14966750.626692139</v>
      </c>
      <c r="K56" s="81">
        <f>J56*1.02</f>
        <v>15266085.639225982</v>
      </c>
      <c r="L56" s="197">
        <v>0.01</v>
      </c>
    </row>
    <row r="57" spans="1:11" ht="12.75">
      <c r="A57" s="47" t="s">
        <v>172</v>
      </c>
      <c r="B57" s="47"/>
      <c r="C57" s="47"/>
      <c r="D57" s="47"/>
      <c r="E57" s="47"/>
      <c r="F57" s="47"/>
      <c r="G57" s="47"/>
      <c r="H57" s="47"/>
      <c r="I57" s="47"/>
      <c r="J57" s="47"/>
      <c r="K57" s="47"/>
    </row>
    <row r="58" spans="1:12" ht="12.75">
      <c r="A58" s="67" t="s">
        <v>281</v>
      </c>
      <c r="B58" s="81">
        <f>'Ramp Up'!B45</f>
        <v>656697.2602368527</v>
      </c>
      <c r="C58" s="81">
        <f>'Ramp Up'!B46</f>
        <v>853706.4383079085</v>
      </c>
      <c r="D58" s="81">
        <f>'Ramp Up'!B47</f>
        <v>1050715.6163789644</v>
      </c>
      <c r="E58" s="81">
        <f>'Ramp Up'!B48</f>
        <v>1182055.0684263348</v>
      </c>
      <c r="F58" s="81">
        <f>'Ramp Up'!B49</f>
        <v>1313394.5204737054</v>
      </c>
      <c r="G58" s="81">
        <f>(B15*1.005)*(B16*1.015)</f>
        <v>1339760.915472215</v>
      </c>
      <c r="H58" s="81">
        <f>G58*1.02</f>
        <v>1366556.1337816594</v>
      </c>
      <c r="I58" s="81">
        <f>H58*1.02</f>
        <v>1393887.2564572927</v>
      </c>
      <c r="J58" s="81">
        <f>I58*1.02</f>
        <v>1421765.0015864386</v>
      </c>
      <c r="K58" s="81">
        <f>J58*1.02</f>
        <v>1450200.3016181674</v>
      </c>
      <c r="L58" s="197">
        <v>0.01</v>
      </c>
    </row>
    <row r="59" spans="1:7" ht="12.75">
      <c r="A59" s="67"/>
      <c r="B59" s="78"/>
      <c r="C59" s="78"/>
      <c r="D59" s="78"/>
      <c r="E59" s="78"/>
      <c r="F59" s="78"/>
      <c r="G59" s="78"/>
    </row>
    <row r="60" spans="1:12" ht="12.75">
      <c r="A60" s="47" t="s">
        <v>173</v>
      </c>
      <c r="B60" s="81">
        <f>'Ramp Up'!B54</f>
        <v>1078272</v>
      </c>
      <c r="C60" s="81">
        <f>'Ramp Up'!B55</f>
        <v>1213056</v>
      </c>
      <c r="D60" s="81">
        <f>'Ramp Up'!B56</f>
        <v>1347840</v>
      </c>
      <c r="E60" s="81">
        <f>D60*1.03</f>
        <v>1388275.2</v>
      </c>
      <c r="F60" s="81">
        <f>E60*1.03</f>
        <v>1429923.456</v>
      </c>
      <c r="G60" s="81">
        <f>F60*1.025</f>
        <v>1465671.5424</v>
      </c>
      <c r="H60" s="81">
        <f>G60*1.025</f>
        <v>1502313.3309599997</v>
      </c>
      <c r="I60" s="81">
        <f>H60*1.025</f>
        <v>1539871.1642339996</v>
      </c>
      <c r="J60" s="81">
        <f>I60*1.025</f>
        <v>1578367.9433398494</v>
      </c>
      <c r="K60" s="81">
        <f>J60*1.025</f>
        <v>1617827.1419233454</v>
      </c>
      <c r="L60" s="218">
        <v>0.02</v>
      </c>
    </row>
    <row r="61" spans="1:7" ht="12.75">
      <c r="A61" s="47"/>
      <c r="B61" s="78"/>
      <c r="C61" s="78"/>
      <c r="D61" s="78"/>
      <c r="E61" s="78"/>
      <c r="F61" s="78"/>
      <c r="G61" s="78"/>
    </row>
    <row r="62" spans="1:12" s="220" customFormat="1" ht="12.75">
      <c r="A62" s="109" t="s">
        <v>214</v>
      </c>
      <c r="B62" s="110">
        <f aca="true" t="shared" si="0" ref="B62:K62">SUM(B56:B61)</f>
        <v>8647943.007818148</v>
      </c>
      <c r="C62" s="110">
        <f t="shared" si="0"/>
        <v>11053628.310163591</v>
      </c>
      <c r="D62" s="110">
        <f t="shared" si="0"/>
        <v>13459313.612509036</v>
      </c>
      <c r="E62" s="110">
        <f t="shared" si="0"/>
        <v>15013683.014072664</v>
      </c>
      <c r="F62" s="110">
        <f t="shared" si="0"/>
        <v>16569265.471636293</v>
      </c>
      <c r="G62" s="110">
        <f t="shared" si="0"/>
        <v>16908935.84900019</v>
      </c>
      <c r="H62" s="110">
        <f t="shared" si="0"/>
        <v>17254442.923692193</v>
      </c>
      <c r="I62" s="110">
        <f t="shared" si="0"/>
        <v>17607043.348820843</v>
      </c>
      <c r="J62" s="110">
        <f t="shared" si="0"/>
        <v>17966883.571618427</v>
      </c>
      <c r="K62" s="110">
        <f t="shared" si="0"/>
        <v>18334113.082767494</v>
      </c>
      <c r="L62" s="197"/>
    </row>
    <row r="63" spans="1:12" s="220" customFormat="1" ht="12.75">
      <c r="A63" s="109" t="s">
        <v>286</v>
      </c>
      <c r="B63" s="110"/>
      <c r="C63" s="224">
        <f>(C62/B62)-1</f>
        <v>0.2781800597171593</v>
      </c>
      <c r="D63" s="224">
        <f aca="true" t="shared" si="1" ref="D63:K63">(D62/C62)-1</f>
        <v>0.21763761498416456</v>
      </c>
      <c r="E63" s="224">
        <f t="shared" si="1"/>
        <v>0.115486528237146</v>
      </c>
      <c r="F63" s="224">
        <f t="shared" si="1"/>
        <v>0.10361098313488748</v>
      </c>
      <c r="G63" s="224">
        <f t="shared" si="1"/>
        <v>0.020500026265216853</v>
      </c>
      <c r="H63" s="224">
        <f t="shared" si="1"/>
        <v>0.020433401473483714</v>
      </c>
      <c r="I63" s="224">
        <f t="shared" si="1"/>
        <v>0.020435341012632335</v>
      </c>
      <c r="J63" s="224">
        <f t="shared" si="1"/>
        <v>0.020437288400365183</v>
      </c>
      <c r="K63" s="224">
        <f t="shared" si="1"/>
        <v>0.020439243660996587</v>
      </c>
      <c r="L63" s="225"/>
    </row>
    <row r="64" spans="1:7" ht="12.75">
      <c r="A64" s="47"/>
      <c r="B64" s="47"/>
      <c r="C64" s="47"/>
      <c r="D64" s="47"/>
      <c r="E64" s="47"/>
      <c r="F64" s="47"/>
      <c r="G64" s="47"/>
    </row>
    <row r="65" spans="1:7" ht="12.75">
      <c r="A65" s="145" t="s">
        <v>270</v>
      </c>
      <c r="B65" s="47"/>
      <c r="C65" s="47"/>
      <c r="D65" s="47"/>
      <c r="E65" s="47"/>
      <c r="F65" s="47"/>
      <c r="G65" s="47"/>
    </row>
    <row r="66" spans="1:7" ht="12.75">
      <c r="A66" s="47" t="s">
        <v>171</v>
      </c>
      <c r="B66" s="47"/>
      <c r="C66" s="47"/>
      <c r="D66" s="47"/>
      <c r="E66" s="47"/>
      <c r="F66" s="47"/>
      <c r="G66" s="47"/>
    </row>
    <row r="67" spans="1:12" ht="12.75">
      <c r="A67" s="67" t="s">
        <v>281</v>
      </c>
      <c r="B67" s="81">
        <f>'Ramp Up'!C36</f>
        <v>12986909.859474108</v>
      </c>
      <c r="C67" s="81">
        <f>'Ramp Up'!C37</f>
        <v>19480364.78921116</v>
      </c>
      <c r="D67" s="81">
        <f>'Ramp Up'!C38</f>
        <v>25973819.718948215</v>
      </c>
      <c r="E67" s="81">
        <f>(C9*1.01)*(C10*1.02)</f>
        <v>26758229.07446045</v>
      </c>
      <c r="F67" s="81">
        <f aca="true" t="shared" si="2" ref="F67:K67">E67*1.03</f>
        <v>27560975.946694266</v>
      </c>
      <c r="G67" s="81">
        <f t="shared" si="2"/>
        <v>28387805.225095093</v>
      </c>
      <c r="H67" s="81">
        <f t="shared" si="2"/>
        <v>29239439.381847948</v>
      </c>
      <c r="I67" s="81">
        <f t="shared" si="2"/>
        <v>30116622.56330339</v>
      </c>
      <c r="J67" s="81">
        <f t="shared" si="2"/>
        <v>31020121.24020249</v>
      </c>
      <c r="K67" s="81">
        <f t="shared" si="2"/>
        <v>31950724.877408564</v>
      </c>
      <c r="L67" s="197">
        <v>0.02</v>
      </c>
    </row>
    <row r="68" spans="1:12" ht="12.75">
      <c r="A68" s="47" t="s">
        <v>172</v>
      </c>
      <c r="B68" s="128"/>
      <c r="C68" s="128"/>
      <c r="D68" s="128"/>
      <c r="E68" s="127"/>
      <c r="F68" s="127"/>
      <c r="G68" s="127"/>
      <c r="H68" s="127"/>
      <c r="I68" s="127"/>
      <c r="J68" s="127"/>
      <c r="K68" s="127"/>
      <c r="L68" s="229"/>
    </row>
    <row r="69" spans="1:12" ht="12.75">
      <c r="A69" s="67" t="s">
        <v>282</v>
      </c>
      <c r="B69" s="81">
        <f>'Ramp Up'!C45</f>
        <v>1094495.4337280877</v>
      </c>
      <c r="C69" s="81">
        <f>'Ramp Up'!C46</f>
        <v>1641743.1505921315</v>
      </c>
      <c r="D69" s="81">
        <f>'Ramp Up'!C47</f>
        <v>2188990.8674561754</v>
      </c>
      <c r="E69" s="81">
        <f>(C15*1.01)*(C16*1.02)</f>
        <v>2255098.3916533515</v>
      </c>
      <c r="F69" s="81">
        <f aca="true" t="shared" si="3" ref="F69:K69">E69*1.03</f>
        <v>2322751.343402952</v>
      </c>
      <c r="G69" s="81">
        <f t="shared" si="3"/>
        <v>2392433.8837050404</v>
      </c>
      <c r="H69" s="81">
        <f t="shared" si="3"/>
        <v>2464206.9002161915</v>
      </c>
      <c r="I69" s="81">
        <f t="shared" si="3"/>
        <v>2538133.107222677</v>
      </c>
      <c r="J69" s="81">
        <f t="shared" si="3"/>
        <v>2614277.1004393576</v>
      </c>
      <c r="K69" s="81">
        <f t="shared" si="3"/>
        <v>2692705.413452538</v>
      </c>
      <c r="L69" s="197">
        <v>0.02</v>
      </c>
    </row>
    <row r="70" spans="2:12" ht="12.75">
      <c r="B70" s="228"/>
      <c r="C70" s="228"/>
      <c r="D70" s="228"/>
      <c r="E70" s="228"/>
      <c r="F70" s="227"/>
      <c r="G70" s="227"/>
      <c r="H70" s="227"/>
      <c r="I70" s="227"/>
      <c r="J70" s="227"/>
      <c r="K70" s="227"/>
      <c r="L70" s="229"/>
    </row>
    <row r="71" spans="1:12" ht="12.75">
      <c r="A71" s="47" t="s">
        <v>173</v>
      </c>
      <c r="B71" s="81">
        <f>'Ramp Up'!C54</f>
        <v>1437696</v>
      </c>
      <c r="C71" s="81">
        <f>'Ramp Up'!C55</f>
        <v>1617408</v>
      </c>
      <c r="D71" s="81">
        <f>'Ramp Up'!C56</f>
        <v>1797120</v>
      </c>
      <c r="E71" s="81">
        <f>D71*1.03</f>
        <v>1851033.6</v>
      </c>
      <c r="F71" s="81">
        <f>E71*1.03</f>
        <v>1906564.6080000002</v>
      </c>
      <c r="G71" s="81">
        <f>F71*1.025</f>
        <v>1954228.7232000001</v>
      </c>
      <c r="H71" s="81">
        <f>G71*1.025</f>
        <v>2003084.44128</v>
      </c>
      <c r="I71" s="81">
        <f>H71*1.025</f>
        <v>2053161.5523119997</v>
      </c>
      <c r="J71" s="81">
        <f>I71*1.025</f>
        <v>2104490.5911197998</v>
      </c>
      <c r="K71" s="81">
        <f>J71*1.025</f>
        <v>2157102.8558977945</v>
      </c>
      <c r="L71" s="197">
        <v>0.025</v>
      </c>
    </row>
    <row r="72" spans="1:11" ht="12.75">
      <c r="A72" s="47"/>
      <c r="B72" s="127"/>
      <c r="C72" s="127"/>
      <c r="D72" s="127"/>
      <c r="E72" s="127"/>
      <c r="F72" s="127"/>
      <c r="G72" s="127"/>
      <c r="H72" s="227"/>
      <c r="I72" s="227"/>
      <c r="J72" s="227"/>
      <c r="K72" s="227"/>
    </row>
    <row r="73" spans="1:12" s="220" customFormat="1" ht="12.75">
      <c r="A73" s="109" t="s">
        <v>271</v>
      </c>
      <c r="B73" s="226">
        <f aca="true" t="shared" si="4" ref="B73:K73">SUM(B67:B72)</f>
        <v>15519101.293202195</v>
      </c>
      <c r="C73" s="226">
        <f t="shared" si="4"/>
        <v>22739515.939803295</v>
      </c>
      <c r="D73" s="226">
        <f t="shared" si="4"/>
        <v>29959930.58640439</v>
      </c>
      <c r="E73" s="226">
        <f t="shared" si="4"/>
        <v>30864361.066113804</v>
      </c>
      <c r="F73" s="226">
        <f t="shared" si="4"/>
        <v>31790291.898097217</v>
      </c>
      <c r="G73" s="226">
        <f t="shared" si="4"/>
        <v>32734467.832000136</v>
      </c>
      <c r="H73" s="226">
        <f t="shared" si="4"/>
        <v>33706730.72334414</v>
      </c>
      <c r="I73" s="226">
        <f t="shared" si="4"/>
        <v>34707917.22283807</v>
      </c>
      <c r="J73" s="226">
        <f t="shared" si="4"/>
        <v>35738888.93176165</v>
      </c>
      <c r="K73" s="226">
        <f t="shared" si="4"/>
        <v>36800533.14675889</v>
      </c>
      <c r="L73" s="221"/>
    </row>
    <row r="74" spans="1:12" s="220" customFormat="1" ht="12.75">
      <c r="A74" s="109" t="s">
        <v>286</v>
      </c>
      <c r="B74" s="110"/>
      <c r="C74" s="224">
        <f aca="true" t="shared" si="5" ref="C74:K74">(C73/B73)-1</f>
        <v>0.4652598439939202</v>
      </c>
      <c r="D74" s="224">
        <f t="shared" si="5"/>
        <v>0.31752719212296276</v>
      </c>
      <c r="E74" s="224">
        <f t="shared" si="5"/>
        <v>0.030188003176477185</v>
      </c>
      <c r="F74" s="224">
        <f t="shared" si="5"/>
        <v>0.030000000000000027</v>
      </c>
      <c r="G74" s="224">
        <f t="shared" si="5"/>
        <v>0.02970013414565198</v>
      </c>
      <c r="H74" s="224">
        <f t="shared" si="5"/>
        <v>0.029701502903112686</v>
      </c>
      <c r="I74" s="224">
        <f t="shared" si="5"/>
        <v>0.029702865807764045</v>
      </c>
      <c r="J74" s="224">
        <f t="shared" si="5"/>
        <v>0.029704222881031805</v>
      </c>
      <c r="K74" s="224">
        <f t="shared" si="5"/>
        <v>0.029705574144296865</v>
      </c>
      <c r="L74" s="225"/>
    </row>
    <row r="75" spans="1:7" ht="12.75">
      <c r="A75" s="47"/>
      <c r="B75" s="47"/>
      <c r="C75" s="47"/>
      <c r="D75" s="47"/>
      <c r="E75" s="47"/>
      <c r="F75" s="47"/>
      <c r="G75" s="47"/>
    </row>
    <row r="76" spans="1:7" ht="12.75">
      <c r="A76" s="145" t="s">
        <v>212</v>
      </c>
      <c r="B76" s="47"/>
      <c r="C76" s="47"/>
      <c r="D76" s="47"/>
      <c r="E76" s="47"/>
      <c r="F76" s="47"/>
      <c r="G76" s="47"/>
    </row>
    <row r="77" spans="1:7" ht="12.75">
      <c r="A77" s="47" t="s">
        <v>171</v>
      </c>
      <c r="B77" s="47"/>
      <c r="C77" s="47"/>
      <c r="D77" s="47"/>
      <c r="E77" s="47"/>
      <c r="F77" s="47"/>
      <c r="G77" s="47"/>
    </row>
    <row r="78" spans="1:12" ht="12.75">
      <c r="A78" s="67" t="s">
        <v>282</v>
      </c>
      <c r="B78" s="81">
        <f>'Ramp Up'!D36</f>
        <v>15725666.620614212</v>
      </c>
      <c r="C78" s="81">
        <f>'Ramp Up'!D37</f>
        <v>23588499.930921316</v>
      </c>
      <c r="D78" s="81">
        <f>'Ramp Up'!D38</f>
        <v>31451333.241228424</v>
      </c>
      <c r="E78" s="81">
        <f>(D10*1.02)*(D9*1.02)</f>
        <v>32721967.10417405</v>
      </c>
      <c r="F78" s="81">
        <f aca="true" t="shared" si="6" ref="F78:K78">E78*1.04</f>
        <v>34030845.788341016</v>
      </c>
      <c r="G78" s="81">
        <f t="shared" si="6"/>
        <v>35392079.619874656</v>
      </c>
      <c r="H78" s="81">
        <f t="shared" si="6"/>
        <v>36807762.80466964</v>
      </c>
      <c r="I78" s="81">
        <f t="shared" si="6"/>
        <v>38280073.31685643</v>
      </c>
      <c r="J78" s="81">
        <f t="shared" si="6"/>
        <v>39811276.24953069</v>
      </c>
      <c r="K78" s="81">
        <f t="shared" si="6"/>
        <v>41403727.29951192</v>
      </c>
      <c r="L78" s="197">
        <v>0.03</v>
      </c>
    </row>
    <row r="79" spans="1:12" ht="12.75">
      <c r="A79" s="47" t="s">
        <v>172</v>
      </c>
      <c r="B79" s="128"/>
      <c r="C79" s="128"/>
      <c r="D79" s="128"/>
      <c r="E79" s="128"/>
      <c r="F79" s="128"/>
      <c r="G79" s="128"/>
      <c r="H79" s="128"/>
      <c r="I79" s="128"/>
      <c r="J79" s="128"/>
      <c r="K79" s="128"/>
      <c r="L79" s="229"/>
    </row>
    <row r="80" spans="1:12" ht="12.75">
      <c r="A80" s="67" t="s">
        <v>282</v>
      </c>
      <c r="B80" s="81">
        <f>'Ramp Up'!D45</f>
        <v>1532293.607219323</v>
      </c>
      <c r="C80" s="81">
        <f>'Ramp Up'!D46</f>
        <v>2298440.4108289843</v>
      </c>
      <c r="D80" s="81">
        <f>'Ramp Up'!D47</f>
        <v>3064587.214438646</v>
      </c>
      <c r="E80" s="81">
        <f>(D15*1.02)*(D16*1.02)</f>
        <v>3188396.537901967</v>
      </c>
      <c r="F80" s="81">
        <f aca="true" t="shared" si="7" ref="F80:K80">E80*1.04</f>
        <v>3315932.3994180458</v>
      </c>
      <c r="G80" s="81">
        <f t="shared" si="7"/>
        <v>3448569.695394768</v>
      </c>
      <c r="H80" s="81">
        <f t="shared" si="7"/>
        <v>3586512.4832105585</v>
      </c>
      <c r="I80" s="81">
        <f t="shared" si="7"/>
        <v>3729972.982538981</v>
      </c>
      <c r="J80" s="81">
        <f t="shared" si="7"/>
        <v>3879171.90184054</v>
      </c>
      <c r="K80" s="81">
        <f t="shared" si="7"/>
        <v>4034338.777914162</v>
      </c>
      <c r="L80" s="197">
        <v>0.03</v>
      </c>
    </row>
    <row r="81" spans="1:12" ht="12.75">
      <c r="A81" s="47"/>
      <c r="B81" s="128"/>
      <c r="C81" s="128"/>
      <c r="D81" s="128"/>
      <c r="E81" s="128"/>
      <c r="F81" s="128"/>
      <c r="G81" s="128"/>
      <c r="H81" s="228"/>
      <c r="L81" s="229"/>
    </row>
    <row r="82" spans="1:12" ht="12.75">
      <c r="A82" s="47" t="s">
        <v>173</v>
      </c>
      <c r="B82" s="81">
        <f>'Ramp Up'!D54</f>
        <v>1797120</v>
      </c>
      <c r="C82" s="81">
        <f>'Ramp Up'!D55</f>
        <v>2021760</v>
      </c>
      <c r="D82" s="81">
        <f>'Ramp Up'!D56</f>
        <v>2246400</v>
      </c>
      <c r="E82" s="81">
        <f>D82*1.03</f>
        <v>2313792</v>
      </c>
      <c r="F82" s="81">
        <f aca="true" t="shared" si="8" ref="F82:K82">E82*1.03</f>
        <v>2383205.7600000002</v>
      </c>
      <c r="G82" s="81">
        <f t="shared" si="8"/>
        <v>2454701.9328000005</v>
      </c>
      <c r="H82" s="81">
        <f t="shared" si="8"/>
        <v>2528342.9907840006</v>
      </c>
      <c r="I82" s="81">
        <f t="shared" si="8"/>
        <v>2604193.280507521</v>
      </c>
      <c r="J82" s="81">
        <f t="shared" si="8"/>
        <v>2682319.0789227462</v>
      </c>
      <c r="K82" s="81">
        <f t="shared" si="8"/>
        <v>2762788.651290429</v>
      </c>
      <c r="L82" s="197">
        <v>0.03</v>
      </c>
    </row>
    <row r="84" spans="1:12" ht="12.75">
      <c r="A84" s="109" t="s">
        <v>215</v>
      </c>
      <c r="B84" s="226">
        <f>SUM(B78:B83)</f>
        <v>19055080.227833536</v>
      </c>
      <c r="C84" s="226">
        <f aca="true" t="shared" si="9" ref="C84:K84">SUM(C78:C83)</f>
        <v>27908700.3417503</v>
      </c>
      <c r="D84" s="226">
        <f t="shared" si="9"/>
        <v>36762320.45566707</v>
      </c>
      <c r="E84" s="226">
        <f t="shared" si="9"/>
        <v>38224155.642076015</v>
      </c>
      <c r="F84" s="226">
        <f t="shared" si="9"/>
        <v>39729983.94775906</v>
      </c>
      <c r="G84" s="226">
        <f t="shared" si="9"/>
        <v>41295351.24806943</v>
      </c>
      <c r="H84" s="226">
        <f t="shared" si="9"/>
        <v>42922618.2786642</v>
      </c>
      <c r="I84" s="226">
        <f t="shared" si="9"/>
        <v>44614239.57990293</v>
      </c>
      <c r="J84" s="226">
        <f t="shared" si="9"/>
        <v>46372767.230293974</v>
      </c>
      <c r="K84" s="226">
        <f t="shared" si="9"/>
        <v>48200854.72871651</v>
      </c>
      <c r="L84" s="98"/>
    </row>
    <row r="85" spans="1:12" s="220" customFormat="1" ht="12.75">
      <c r="A85" s="109" t="s">
        <v>286</v>
      </c>
      <c r="B85" s="110"/>
      <c r="C85" s="224">
        <f aca="true" t="shared" si="10" ref="C85:K85">(C84/B84)-1</f>
        <v>0.46463305365591623</v>
      </c>
      <c r="D85" s="224">
        <f t="shared" si="10"/>
        <v>0.3172351275946772</v>
      </c>
      <c r="E85" s="224">
        <f t="shared" si="10"/>
        <v>0.03976449713428232</v>
      </c>
      <c r="F85" s="224">
        <f t="shared" si="10"/>
        <v>0.03939467806125907</v>
      </c>
      <c r="G85" s="224">
        <f t="shared" si="10"/>
        <v>0.03940014932723512</v>
      </c>
      <c r="H85" s="224">
        <f t="shared" si="10"/>
        <v>0.03940557426959401</v>
      </c>
      <c r="I85" s="224">
        <f t="shared" si="10"/>
        <v>0.039410953224155776</v>
      </c>
      <c r="J85" s="224">
        <f t="shared" si="10"/>
        <v>0.03941628652532714</v>
      </c>
      <c r="K85" s="224">
        <f t="shared" si="10"/>
        <v>0.03942157450608841</v>
      </c>
      <c r="L85" s="225"/>
    </row>
  </sheetData>
  <printOptions/>
  <pageMargins left="0.75" right="0.75" top="1" bottom="1" header="0.5" footer="0.5"/>
  <pageSetup horizontalDpi="300" verticalDpi="300" orientation="landscape" scale="70" r:id="rId1"/>
</worksheet>
</file>

<file path=xl/worksheets/sheet2.xml><?xml version="1.0" encoding="utf-8"?>
<worksheet xmlns="http://schemas.openxmlformats.org/spreadsheetml/2006/main" xmlns:r="http://schemas.openxmlformats.org/officeDocument/2006/relationships">
  <sheetPr>
    <tabColor indexed="44"/>
  </sheetPr>
  <dimension ref="A1:F154"/>
  <sheetViews>
    <sheetView zoomScale="115" zoomScaleNormal="115" workbookViewId="0" topLeftCell="A1">
      <selection activeCell="G30" sqref="G30"/>
    </sheetView>
  </sheetViews>
  <sheetFormatPr defaultColWidth="9.140625" defaultRowHeight="12.75"/>
  <cols>
    <col min="1" max="1" width="30.7109375" style="0" customWidth="1"/>
    <col min="2" max="4" width="12.7109375" style="7" customWidth="1"/>
    <col min="5" max="9" width="12.7109375" style="0" customWidth="1"/>
  </cols>
  <sheetData>
    <row r="1" ht="15.75">
      <c r="A1" s="6" t="s">
        <v>317</v>
      </c>
    </row>
    <row r="2" ht="15.75">
      <c r="A2" s="6" t="s">
        <v>193</v>
      </c>
    </row>
    <row r="3" ht="15.75">
      <c r="A3" s="8"/>
    </row>
    <row r="5" spans="1:5" ht="12.75">
      <c r="A5" s="5"/>
      <c r="B5" s="9"/>
      <c r="C5" s="9"/>
      <c r="D5" s="9"/>
      <c r="E5" s="5"/>
    </row>
    <row r="6" spans="1:5" ht="24">
      <c r="A6" s="10" t="s">
        <v>2</v>
      </c>
      <c r="B6" s="11" t="s">
        <v>3</v>
      </c>
      <c r="C6" s="11" t="s">
        <v>109</v>
      </c>
      <c r="D6" s="11" t="s">
        <v>110</v>
      </c>
      <c r="E6" s="5"/>
    </row>
    <row r="7" spans="1:5" ht="12.75">
      <c r="A7" s="212" t="s">
        <v>125</v>
      </c>
      <c r="B7" s="213" t="s">
        <v>180</v>
      </c>
      <c r="C7" s="214" t="s">
        <v>113</v>
      </c>
      <c r="D7" s="215" t="s">
        <v>114</v>
      </c>
      <c r="E7" s="5"/>
    </row>
    <row r="8" spans="1:5" ht="12.75">
      <c r="A8" s="212" t="s">
        <v>126</v>
      </c>
      <c r="B8" s="213" t="s">
        <v>181</v>
      </c>
      <c r="C8" s="214" t="s">
        <v>116</v>
      </c>
      <c r="D8" s="215" t="s">
        <v>114</v>
      </c>
      <c r="E8" s="5"/>
    </row>
    <row r="9" spans="1:5" ht="22.5">
      <c r="A9" s="212" t="s">
        <v>112</v>
      </c>
      <c r="B9" s="213" t="s">
        <v>180</v>
      </c>
      <c r="C9" s="214" t="s">
        <v>115</v>
      </c>
      <c r="D9" s="215" t="s">
        <v>114</v>
      </c>
      <c r="E9" s="5"/>
    </row>
    <row r="10" spans="1:5" ht="12.75">
      <c r="A10" s="1"/>
      <c r="B10" s="9"/>
      <c r="C10" s="9"/>
      <c r="D10" s="9"/>
      <c r="E10" s="5"/>
    </row>
    <row r="11" spans="1:5" ht="12.75">
      <c r="A11" s="5"/>
      <c r="B11" s="9"/>
      <c r="C11" s="9"/>
      <c r="D11" s="9"/>
      <c r="E11" s="5"/>
    </row>
    <row r="12" spans="1:6" ht="24">
      <c r="A12" s="10" t="s">
        <v>4</v>
      </c>
      <c r="B12" s="11" t="s">
        <v>85</v>
      </c>
      <c r="C12" s="11" t="s">
        <v>6</v>
      </c>
      <c r="D12" s="12" t="s">
        <v>1</v>
      </c>
      <c r="E12" s="12" t="s">
        <v>267</v>
      </c>
      <c r="F12" s="12" t="s">
        <v>5</v>
      </c>
    </row>
    <row r="13" spans="1:6" ht="36">
      <c r="A13" s="13" t="s">
        <v>123</v>
      </c>
      <c r="B13" s="14" t="s">
        <v>86</v>
      </c>
      <c r="C13" s="111" t="s">
        <v>119</v>
      </c>
      <c r="D13" s="15">
        <v>1</v>
      </c>
      <c r="E13" s="15">
        <v>1</v>
      </c>
      <c r="F13" s="15">
        <v>2</v>
      </c>
    </row>
    <row r="14" spans="1:6" ht="12.75">
      <c r="A14" s="16"/>
      <c r="B14" s="14" t="s">
        <v>86</v>
      </c>
      <c r="C14" s="14" t="s">
        <v>25</v>
      </c>
      <c r="D14" s="15">
        <v>1</v>
      </c>
      <c r="E14" s="15">
        <v>2</v>
      </c>
      <c r="F14" s="15">
        <v>2</v>
      </c>
    </row>
    <row r="15" spans="1:6" ht="36">
      <c r="A15" s="184" t="s">
        <v>124</v>
      </c>
      <c r="B15" s="185" t="s">
        <v>318</v>
      </c>
      <c r="C15" s="185" t="s">
        <v>181</v>
      </c>
      <c r="D15" s="186">
        <v>1</v>
      </c>
      <c r="E15" s="186">
        <v>1</v>
      </c>
      <c r="F15" s="186">
        <v>1</v>
      </c>
    </row>
    <row r="16" spans="1:6" ht="36">
      <c r="A16" s="143" t="s">
        <v>7</v>
      </c>
      <c r="B16" s="144" t="s">
        <v>319</v>
      </c>
      <c r="C16" s="144" t="s">
        <v>199</v>
      </c>
      <c r="D16" s="113">
        <v>3</v>
      </c>
      <c r="E16" s="113">
        <v>4</v>
      </c>
      <c r="F16" s="113">
        <v>5</v>
      </c>
    </row>
    <row r="17" spans="1:6" ht="12.75">
      <c r="A17" s="16"/>
      <c r="B17" s="14" t="s">
        <v>319</v>
      </c>
      <c r="C17" s="14" t="s">
        <v>25</v>
      </c>
      <c r="D17" s="15">
        <v>3</v>
      </c>
      <c r="E17" s="15">
        <v>4</v>
      </c>
      <c r="F17" s="15">
        <v>5</v>
      </c>
    </row>
    <row r="18" spans="1:6" ht="12.75">
      <c r="A18" s="17"/>
      <c r="B18" s="18" t="s">
        <v>319</v>
      </c>
      <c r="C18" s="18" t="s">
        <v>200</v>
      </c>
      <c r="D18" s="19">
        <v>3</v>
      </c>
      <c r="E18" s="19">
        <v>4</v>
      </c>
      <c r="F18" s="19">
        <v>5</v>
      </c>
    </row>
    <row r="19" spans="1:5" ht="12.75">
      <c r="A19" s="20"/>
      <c r="B19" s="21"/>
      <c r="C19" s="21"/>
      <c r="D19" s="21"/>
      <c r="E19" s="21"/>
    </row>
    <row r="20" spans="1:4" ht="12.75">
      <c r="A20" s="38"/>
      <c r="B20" s="21"/>
      <c r="C20" s="9"/>
      <c r="D20" s="5"/>
    </row>
    <row r="21" spans="1:4" ht="36">
      <c r="A21" s="41" t="s">
        <v>15</v>
      </c>
      <c r="B21" s="12" t="s">
        <v>16</v>
      </c>
      <c r="C21" s="205" t="s">
        <v>240</v>
      </c>
      <c r="D21" s="205" t="s">
        <v>235</v>
      </c>
    </row>
    <row r="22" spans="1:4" ht="12.75">
      <c r="A22" s="40" t="s">
        <v>17</v>
      </c>
      <c r="B22" s="34">
        <v>490</v>
      </c>
      <c r="C22" s="207">
        <v>35</v>
      </c>
      <c r="D22" s="56">
        <f>B22/C22</f>
        <v>14</v>
      </c>
    </row>
    <row r="23" spans="1:4" ht="12.75">
      <c r="A23" s="13" t="s">
        <v>226</v>
      </c>
      <c r="B23" s="34">
        <v>273</v>
      </c>
      <c r="C23" s="208">
        <v>53</v>
      </c>
      <c r="D23" s="52">
        <f aca="true" t="shared" si="0" ref="D23:D32">B23/C23</f>
        <v>5.150943396226415</v>
      </c>
    </row>
    <row r="24" spans="1:4" ht="12.75">
      <c r="A24" s="13" t="s">
        <v>227</v>
      </c>
      <c r="B24" s="34">
        <v>497</v>
      </c>
      <c r="C24" s="208">
        <v>53</v>
      </c>
      <c r="D24" s="52">
        <f t="shared" si="0"/>
        <v>9.377358490566039</v>
      </c>
    </row>
    <row r="25" spans="1:4" ht="12.75">
      <c r="A25" s="13" t="s">
        <v>18</v>
      </c>
      <c r="B25" s="34">
        <v>403</v>
      </c>
      <c r="C25" s="208">
        <v>53</v>
      </c>
      <c r="D25" s="52">
        <f t="shared" si="0"/>
        <v>7.60377358490566</v>
      </c>
    </row>
    <row r="26" spans="1:4" ht="12.75">
      <c r="A26" s="13" t="s">
        <v>242</v>
      </c>
      <c r="B26" s="34">
        <v>110</v>
      </c>
      <c r="C26" s="208">
        <v>40</v>
      </c>
      <c r="D26" s="52">
        <f t="shared" si="0"/>
        <v>2.75</v>
      </c>
    </row>
    <row r="27" spans="1:4" ht="12.75">
      <c r="A27" s="13" t="s">
        <v>241</v>
      </c>
      <c r="B27" s="34">
        <v>107</v>
      </c>
      <c r="C27" s="208">
        <v>53</v>
      </c>
      <c r="D27" s="52">
        <f t="shared" si="0"/>
        <v>2.018867924528302</v>
      </c>
    </row>
    <row r="28" spans="1:4" ht="12" customHeight="1">
      <c r="A28" s="13" t="s">
        <v>19</v>
      </c>
      <c r="B28" s="34">
        <v>196</v>
      </c>
      <c r="C28" s="208">
        <v>47</v>
      </c>
      <c r="D28" s="52">
        <f t="shared" si="0"/>
        <v>4.170212765957447</v>
      </c>
    </row>
    <row r="29" spans="1:4" ht="12" customHeight="1">
      <c r="A29" s="13" t="s">
        <v>230</v>
      </c>
      <c r="B29" s="34">
        <v>196</v>
      </c>
      <c r="C29" s="208">
        <v>53</v>
      </c>
      <c r="D29" s="52">
        <f t="shared" si="0"/>
        <v>3.69811320754717</v>
      </c>
    </row>
    <row r="30" spans="1:4" ht="12.75">
      <c r="A30" s="13" t="s">
        <v>228</v>
      </c>
      <c r="B30" s="34">
        <v>240</v>
      </c>
      <c r="C30" s="208">
        <v>40</v>
      </c>
      <c r="D30" s="52">
        <f t="shared" si="0"/>
        <v>6</v>
      </c>
    </row>
    <row r="31" spans="1:4" ht="12.75">
      <c r="A31" s="13" t="s">
        <v>229</v>
      </c>
      <c r="B31" s="34">
        <v>206</v>
      </c>
      <c r="C31" s="208">
        <v>53</v>
      </c>
      <c r="D31" s="52">
        <f t="shared" si="0"/>
        <v>3.8867924528301887</v>
      </c>
    </row>
    <row r="32" spans="1:4" s="123" customFormat="1" ht="12" customHeight="1">
      <c r="A32" s="191" t="s">
        <v>231</v>
      </c>
      <c r="B32" s="33">
        <v>98</v>
      </c>
      <c r="C32" s="209">
        <v>53</v>
      </c>
      <c r="D32" s="206">
        <f t="shared" si="0"/>
        <v>1.849056603773585</v>
      </c>
    </row>
    <row r="33" spans="1:4" ht="12.75">
      <c r="A33" s="38"/>
      <c r="B33" s="21"/>
      <c r="C33" s="9"/>
      <c r="D33" s="5"/>
    </row>
    <row r="34" spans="1:4" ht="12.75">
      <c r="A34" s="38"/>
      <c r="B34" s="21"/>
      <c r="C34" s="9"/>
      <c r="D34" s="5"/>
    </row>
    <row r="35" spans="1:4" ht="24">
      <c r="A35" s="42" t="s">
        <v>246</v>
      </c>
      <c r="B35" s="12" t="s">
        <v>20</v>
      </c>
      <c r="C35" s="133" t="s">
        <v>237</v>
      </c>
      <c r="D35" s="133" t="s">
        <v>236</v>
      </c>
    </row>
    <row r="36" spans="1:4" ht="36">
      <c r="A36" s="204" t="s">
        <v>320</v>
      </c>
      <c r="B36" s="36">
        <f>B23+B24+B25+B30+B31+B32</f>
        <v>1717</v>
      </c>
      <c r="C36" s="210">
        <f>D23+D24+D25+D30+D31+D32</f>
        <v>33.867924528301884</v>
      </c>
      <c r="D36" s="211">
        <f>B36/C36</f>
        <v>50.696935933147635</v>
      </c>
    </row>
    <row r="37" spans="1:4" ht="36">
      <c r="A37" s="191" t="s">
        <v>321</v>
      </c>
      <c r="B37" s="33">
        <f>B23+B24+B25+B28+B29+B32</f>
        <v>1663</v>
      </c>
      <c r="C37" s="210">
        <f>D23+D24+D25+D28+D29+D32</f>
        <v>31.849458048976317</v>
      </c>
      <c r="D37" s="211">
        <f>B37/C37</f>
        <v>52.21438925091697</v>
      </c>
    </row>
    <row r="38" spans="1:4" ht="12.75">
      <c r="A38" s="43" t="s">
        <v>239</v>
      </c>
      <c r="B38" s="44">
        <f>SUM(B36:B37)/2</f>
        <v>1690</v>
      </c>
      <c r="C38" s="49">
        <f>SUM(C36:C37)/2</f>
        <v>32.8586912886391</v>
      </c>
      <c r="D38" s="49">
        <f>SUM(D36:D37)/2</f>
        <v>51.455662592032304</v>
      </c>
    </row>
    <row r="39" spans="1:4" ht="12.75">
      <c r="A39" s="39"/>
      <c r="B39" s="57"/>
      <c r="C39" s="58"/>
      <c r="D39" s="58"/>
    </row>
    <row r="40" spans="1:4" ht="12.75">
      <c r="A40" s="39"/>
      <c r="B40" s="57"/>
      <c r="C40" s="58"/>
      <c r="D40" s="58"/>
    </row>
    <row r="41" spans="1:4" ht="24">
      <c r="A41" s="42" t="s">
        <v>247</v>
      </c>
      <c r="B41" s="12" t="s">
        <v>20</v>
      </c>
      <c r="C41" s="133" t="s">
        <v>26</v>
      </c>
      <c r="D41" s="133" t="s">
        <v>236</v>
      </c>
    </row>
    <row r="42" spans="1:4" ht="24">
      <c r="A42" s="204" t="s">
        <v>248</v>
      </c>
      <c r="B42" s="36">
        <f>B27+B28+B29+B32</f>
        <v>597</v>
      </c>
      <c r="C42" s="217">
        <f>D27+D28+D29+D32</f>
        <v>11.736250501806504</v>
      </c>
      <c r="D42" s="211">
        <f>B42/C42</f>
        <v>50.86803488968702</v>
      </c>
    </row>
    <row r="43" spans="1:4" ht="24">
      <c r="A43" s="191" t="s">
        <v>249</v>
      </c>
      <c r="B43" s="33">
        <f>B27+B30+B31+B32</f>
        <v>651</v>
      </c>
      <c r="C43" s="206">
        <f>D27+D30+D31+D32</f>
        <v>13.754716981132075</v>
      </c>
      <c r="D43" s="211">
        <f>B43/C43</f>
        <v>47.32921810699589</v>
      </c>
    </row>
    <row r="44" spans="1:4" ht="12.75">
      <c r="A44" s="43" t="s">
        <v>239</v>
      </c>
      <c r="B44" s="44">
        <f>SUM(B42:B43)/2</f>
        <v>624</v>
      </c>
      <c r="C44" s="49">
        <f>SUM(C42:C43)/2</f>
        <v>12.74548374146929</v>
      </c>
      <c r="D44" s="49">
        <f>SUM(D42:D43)/2</f>
        <v>49.09862649834145</v>
      </c>
    </row>
    <row r="45" spans="1:4" ht="12.75">
      <c r="A45" s="39"/>
      <c r="B45" s="57"/>
      <c r="C45" s="58"/>
      <c r="D45" s="58"/>
    </row>
    <row r="46" spans="1:4" ht="22.5">
      <c r="A46" s="27" t="s">
        <v>21</v>
      </c>
      <c r="B46" s="45" t="s">
        <v>23</v>
      </c>
      <c r="C46" s="21"/>
      <c r="D46" s="21"/>
    </row>
    <row r="47" spans="1:4" ht="12.75">
      <c r="A47" s="24" t="s">
        <v>232</v>
      </c>
      <c r="B47" s="48">
        <v>0.5</v>
      </c>
      <c r="C47" s="21"/>
      <c r="D47" s="21"/>
    </row>
    <row r="48" spans="1:4" ht="12.75">
      <c r="A48" s="24" t="s">
        <v>22</v>
      </c>
      <c r="B48" s="48">
        <v>0.5</v>
      </c>
      <c r="C48" s="21"/>
      <c r="D48" s="21"/>
    </row>
    <row r="49" spans="1:4" ht="12.75">
      <c r="A49" s="24" t="s">
        <v>220</v>
      </c>
      <c r="B49" s="48">
        <v>6</v>
      </c>
      <c r="C49" s="21"/>
      <c r="D49" s="21"/>
    </row>
    <row r="50" spans="1:4" ht="12.75">
      <c r="A50" s="24" t="s">
        <v>233</v>
      </c>
      <c r="B50" s="48">
        <v>2</v>
      </c>
      <c r="C50" s="21"/>
      <c r="D50" s="21"/>
    </row>
    <row r="51" spans="1:4" ht="24">
      <c r="A51" s="26" t="s">
        <v>234</v>
      </c>
      <c r="B51" s="50">
        <v>2</v>
      </c>
      <c r="C51" s="21"/>
      <c r="D51" s="21"/>
    </row>
    <row r="52" spans="1:4" ht="12.75">
      <c r="A52" s="46" t="s">
        <v>24</v>
      </c>
      <c r="B52" s="51">
        <f>SUM(B47:B51)</f>
        <v>11</v>
      </c>
      <c r="C52" s="21"/>
      <c r="D52" s="21"/>
    </row>
    <row r="53" spans="1:4" ht="12.75">
      <c r="A53" s="22"/>
      <c r="B53" s="58"/>
      <c r="C53" s="21"/>
      <c r="D53" s="21"/>
    </row>
    <row r="54" spans="1:4" ht="12.75">
      <c r="A54" s="39"/>
      <c r="B54" s="135"/>
      <c r="C54" s="135"/>
      <c r="D54" s="135"/>
    </row>
    <row r="55" spans="1:4" ht="22.5">
      <c r="A55" s="41" t="s">
        <v>26</v>
      </c>
      <c r="B55" s="45" t="s">
        <v>252</v>
      </c>
      <c r="C55"/>
      <c r="D55"/>
    </row>
    <row r="56" spans="1:4" ht="12.75">
      <c r="A56" s="13" t="s">
        <v>30</v>
      </c>
      <c r="B56" s="52">
        <f>C38</f>
        <v>32.8586912886391</v>
      </c>
      <c r="C56"/>
      <c r="D56"/>
    </row>
    <row r="57" spans="1:4" ht="12.75">
      <c r="A57" s="13" t="s">
        <v>46</v>
      </c>
      <c r="B57" s="52">
        <f>B52</f>
        <v>11</v>
      </c>
      <c r="C57"/>
      <c r="D57"/>
    </row>
    <row r="58" spans="1:4" ht="12.75">
      <c r="A58" s="13" t="s">
        <v>27</v>
      </c>
      <c r="B58" s="52">
        <f>B56+B57</f>
        <v>43.8586912886391</v>
      </c>
      <c r="C58"/>
      <c r="D58"/>
    </row>
    <row r="59" spans="1:4" ht="12.75">
      <c r="A59" s="53" t="s">
        <v>28</v>
      </c>
      <c r="B59" s="54">
        <f>B58/24</f>
        <v>1.8274454703599625</v>
      </c>
      <c r="C59"/>
      <c r="D59"/>
    </row>
    <row r="60" spans="1:4" ht="12.75">
      <c r="A60" s="55" t="s">
        <v>17</v>
      </c>
      <c r="B60" s="56">
        <f>D22</f>
        <v>14</v>
      </c>
      <c r="C60"/>
      <c r="D60"/>
    </row>
    <row r="61" spans="1:4" ht="12.75">
      <c r="A61" s="53" t="s">
        <v>29</v>
      </c>
      <c r="B61" s="54">
        <f>(B58+B60)/24</f>
        <v>2.410778803693296</v>
      </c>
      <c r="C61"/>
      <c r="D61"/>
    </row>
    <row r="62" spans="1:4" ht="12.75">
      <c r="A62" s="39"/>
      <c r="B62" s="135"/>
      <c r="C62" s="135"/>
      <c r="D62" s="135"/>
    </row>
    <row r="63" spans="1:5" ht="12.75">
      <c r="A63" s="20"/>
      <c r="B63" s="21"/>
      <c r="C63" s="21"/>
      <c r="D63" s="21"/>
      <c r="E63" s="21"/>
    </row>
    <row r="64" spans="1:5" ht="12.75">
      <c r="A64" s="27" t="s">
        <v>10</v>
      </c>
      <c r="B64" s="187" t="s">
        <v>8</v>
      </c>
      <c r="C64" s="12" t="s">
        <v>265</v>
      </c>
      <c r="D64" s="29" t="s">
        <v>9</v>
      </c>
      <c r="E64" s="21"/>
    </row>
    <row r="65" spans="1:5" ht="24">
      <c r="A65" s="24" t="s">
        <v>131</v>
      </c>
      <c r="B65" s="32">
        <f>B71</f>
        <v>317</v>
      </c>
      <c r="C65" s="32">
        <f>C71</f>
        <v>317</v>
      </c>
      <c r="D65" s="32">
        <f>D71</f>
        <v>317</v>
      </c>
      <c r="E65" s="21"/>
    </row>
    <row r="66" spans="1:5" ht="24">
      <c r="A66" s="112" t="s">
        <v>132</v>
      </c>
      <c r="B66" s="32">
        <f>C146</f>
        <v>109</v>
      </c>
      <c r="C66" s="32">
        <f>D146</f>
        <v>109</v>
      </c>
      <c r="D66" s="32">
        <f>E146</f>
        <v>109</v>
      </c>
      <c r="E66" s="21"/>
    </row>
    <row r="67" spans="1:5" ht="24">
      <c r="A67" s="35" t="s">
        <v>87</v>
      </c>
      <c r="B67" s="36">
        <v>2</v>
      </c>
      <c r="C67" s="36">
        <v>3</v>
      </c>
      <c r="D67" s="37">
        <v>4</v>
      </c>
      <c r="E67" s="21"/>
    </row>
    <row r="68" spans="1:5" ht="12.75">
      <c r="A68" s="20"/>
      <c r="B68" s="21"/>
      <c r="C68" s="21"/>
      <c r="D68" s="21"/>
      <c r="E68" s="21"/>
    </row>
    <row r="69" spans="1:5" ht="12.75">
      <c r="A69" s="20"/>
      <c r="B69" s="21"/>
      <c r="C69" s="21"/>
      <c r="D69" s="21"/>
      <c r="E69" s="21"/>
    </row>
    <row r="70" spans="1:5" ht="12.75">
      <c r="A70" s="27" t="s">
        <v>182</v>
      </c>
      <c r="B70" s="28" t="s">
        <v>8</v>
      </c>
      <c r="C70" s="28" t="s">
        <v>265</v>
      </c>
      <c r="D70" s="29" t="s">
        <v>9</v>
      </c>
      <c r="E70" s="21"/>
    </row>
    <row r="71" spans="1:5" ht="24">
      <c r="A71" s="24" t="s">
        <v>129</v>
      </c>
      <c r="B71" s="32">
        <f>B72+B73+B74</f>
        <v>317</v>
      </c>
      <c r="C71" s="32">
        <f>C72+C73+C74</f>
        <v>317</v>
      </c>
      <c r="D71" s="32">
        <f>D72+D73+D74</f>
        <v>317</v>
      </c>
      <c r="E71" s="21"/>
    </row>
    <row r="72" spans="1:5" ht="24">
      <c r="A72" s="31" t="s">
        <v>12</v>
      </c>
      <c r="B72" s="34">
        <v>120</v>
      </c>
      <c r="C72" s="34">
        <v>120</v>
      </c>
      <c r="D72" s="25">
        <v>120</v>
      </c>
      <c r="E72" s="21"/>
    </row>
    <row r="73" spans="1:5" ht="24">
      <c r="A73" s="31" t="s">
        <v>13</v>
      </c>
      <c r="B73" s="34">
        <v>132</v>
      </c>
      <c r="C73" s="34">
        <v>132</v>
      </c>
      <c r="D73" s="25">
        <v>132</v>
      </c>
      <c r="E73" s="21"/>
    </row>
    <row r="74" spans="1:5" ht="24">
      <c r="A74" s="31" t="s">
        <v>14</v>
      </c>
      <c r="B74" s="34">
        <v>65</v>
      </c>
      <c r="C74" s="34">
        <v>65</v>
      </c>
      <c r="D74" s="25">
        <v>65</v>
      </c>
      <c r="E74" s="21"/>
    </row>
    <row r="75" spans="1:5" ht="12.75">
      <c r="A75" s="31" t="s">
        <v>11</v>
      </c>
      <c r="B75" s="34">
        <v>60</v>
      </c>
      <c r="C75" s="34">
        <v>60</v>
      </c>
      <c r="D75" s="25">
        <v>60</v>
      </c>
      <c r="E75" s="21"/>
    </row>
    <row r="76" spans="1:5" ht="12.75">
      <c r="A76" s="24"/>
      <c r="B76" s="15"/>
      <c r="C76" s="15"/>
      <c r="D76" s="30"/>
      <c r="E76" s="21"/>
    </row>
    <row r="77" spans="1:5" ht="24">
      <c r="A77" s="112" t="s">
        <v>130</v>
      </c>
      <c r="B77" s="113"/>
      <c r="C77" s="113"/>
      <c r="D77" s="114"/>
      <c r="E77" s="21"/>
    </row>
    <row r="78" spans="1:5" ht="24">
      <c r="A78" s="31" t="s">
        <v>12</v>
      </c>
      <c r="B78" s="34">
        <v>0</v>
      </c>
      <c r="C78" s="34">
        <v>0</v>
      </c>
      <c r="D78" s="25">
        <v>0</v>
      </c>
      <c r="E78" s="21"/>
    </row>
    <row r="79" spans="1:5" ht="24">
      <c r="A79" s="31" t="s">
        <v>13</v>
      </c>
      <c r="B79" s="34">
        <v>44</v>
      </c>
      <c r="C79" s="34">
        <v>44</v>
      </c>
      <c r="D79" s="25">
        <v>44</v>
      </c>
      <c r="E79" s="21"/>
    </row>
    <row r="80" spans="1:5" ht="24">
      <c r="A80" s="31" t="s">
        <v>14</v>
      </c>
      <c r="B80" s="34">
        <v>65</v>
      </c>
      <c r="C80" s="34">
        <v>65</v>
      </c>
      <c r="D80" s="25">
        <v>65</v>
      </c>
      <c r="E80" s="21"/>
    </row>
    <row r="81" spans="1:5" ht="12.75">
      <c r="A81" s="31" t="s">
        <v>11</v>
      </c>
      <c r="B81" s="34">
        <v>25</v>
      </c>
      <c r="C81" s="34">
        <v>25</v>
      </c>
      <c r="D81" s="25">
        <v>25</v>
      </c>
      <c r="E81" s="21"/>
    </row>
    <row r="82" spans="1:5" ht="12.75">
      <c r="A82" s="31"/>
      <c r="B82" s="34"/>
      <c r="C82" s="34"/>
      <c r="D82" s="25"/>
      <c r="E82" s="21"/>
    </row>
    <row r="83" spans="1:5" ht="24">
      <c r="A83" s="35" t="s">
        <v>201</v>
      </c>
      <c r="B83" s="36">
        <f>D17</f>
        <v>3</v>
      </c>
      <c r="C83" s="36">
        <f>E17</f>
        <v>4</v>
      </c>
      <c r="D83" s="36">
        <f>F17</f>
        <v>5</v>
      </c>
      <c r="E83" s="21"/>
    </row>
    <row r="84" spans="1:5" ht="12.75">
      <c r="A84" s="20"/>
      <c r="B84" s="23"/>
      <c r="C84" s="23"/>
      <c r="D84" s="23"/>
      <c r="E84" s="21"/>
    </row>
    <row r="85" spans="1:4" ht="24">
      <c r="A85" s="27" t="s">
        <v>179</v>
      </c>
      <c r="B85" s="133" t="s">
        <v>89</v>
      </c>
      <c r="C85" s="117" t="s">
        <v>88</v>
      </c>
      <c r="D85" s="117" t="s">
        <v>106</v>
      </c>
    </row>
    <row r="86" spans="1:4" ht="12.75">
      <c r="A86" s="115" t="s">
        <v>53</v>
      </c>
      <c r="B86" s="34"/>
      <c r="C86" s="25"/>
      <c r="D86" s="25"/>
    </row>
    <row r="87" spans="1:4" ht="12.75">
      <c r="A87" s="31" t="s">
        <v>77</v>
      </c>
      <c r="B87" s="34">
        <v>30</v>
      </c>
      <c r="C87" s="25">
        <v>4</v>
      </c>
      <c r="D87" s="25">
        <f>B87*C87</f>
        <v>120</v>
      </c>
    </row>
    <row r="88" spans="1:4" ht="12.75">
      <c r="A88" s="31" t="s">
        <v>78</v>
      </c>
      <c r="B88" s="34">
        <v>62</v>
      </c>
      <c r="C88" s="25">
        <v>1</v>
      </c>
      <c r="D88" s="25">
        <f>B88*C88</f>
        <v>62</v>
      </c>
    </row>
    <row r="89" spans="1:4" ht="12.75">
      <c r="A89" s="31" t="s">
        <v>82</v>
      </c>
      <c r="B89" s="34">
        <v>60</v>
      </c>
      <c r="C89" s="25">
        <v>2</v>
      </c>
      <c r="D89" s="25">
        <f>B89*C89</f>
        <v>120</v>
      </c>
    </row>
    <row r="90" spans="1:4" ht="12.75">
      <c r="A90" s="115" t="s">
        <v>54</v>
      </c>
      <c r="B90" s="15"/>
      <c r="C90" s="30"/>
      <c r="D90" s="30"/>
    </row>
    <row r="91" spans="1:4" ht="12.75">
      <c r="A91" s="31" t="s">
        <v>79</v>
      </c>
      <c r="B91" s="34">
        <v>44</v>
      </c>
      <c r="C91" s="25">
        <v>3</v>
      </c>
      <c r="D91" s="25">
        <f>B91*C91</f>
        <v>132</v>
      </c>
    </row>
    <row r="92" spans="1:4" ht="12.75">
      <c r="A92" s="31" t="s">
        <v>78</v>
      </c>
      <c r="B92" s="34">
        <v>80</v>
      </c>
      <c r="C92" s="25">
        <v>1</v>
      </c>
      <c r="D92" s="25">
        <f>B92*C92</f>
        <v>80</v>
      </c>
    </row>
    <row r="93" spans="1:4" ht="12.75">
      <c r="A93" s="31" t="s">
        <v>83</v>
      </c>
      <c r="B93" s="34">
        <v>60</v>
      </c>
      <c r="C93" s="25">
        <v>1</v>
      </c>
      <c r="D93" s="25">
        <f>B93*C93</f>
        <v>60</v>
      </c>
    </row>
    <row r="94" spans="1:4" ht="12.75">
      <c r="A94" s="115" t="s">
        <v>55</v>
      </c>
      <c r="B94" s="34"/>
      <c r="C94" s="25"/>
      <c r="D94" s="25"/>
    </row>
    <row r="95" spans="1:4" ht="12.75">
      <c r="A95" s="31" t="s">
        <v>80</v>
      </c>
      <c r="B95" s="34">
        <v>65</v>
      </c>
      <c r="C95" s="25">
        <v>1</v>
      </c>
      <c r="D95" s="25">
        <f>B95*C95</f>
        <v>65</v>
      </c>
    </row>
    <row r="96" spans="1:4" ht="12.75">
      <c r="A96" s="31" t="s">
        <v>81</v>
      </c>
      <c r="B96" s="34">
        <v>0</v>
      </c>
      <c r="C96" s="25">
        <v>0</v>
      </c>
      <c r="D96" s="25">
        <f>B96*C96</f>
        <v>0</v>
      </c>
    </row>
    <row r="97" spans="1:4" ht="12.75">
      <c r="A97" s="115" t="s">
        <v>84</v>
      </c>
      <c r="B97" s="34"/>
      <c r="C97" s="25">
        <v>1</v>
      </c>
      <c r="D97" s="25">
        <f>B97*C97</f>
        <v>0</v>
      </c>
    </row>
    <row r="98" spans="1:4" ht="12.75">
      <c r="A98" s="115"/>
      <c r="B98" s="34"/>
      <c r="C98" s="25"/>
      <c r="D98" s="25"/>
    </row>
    <row r="99" spans="1:4" ht="12.75">
      <c r="A99" s="115" t="s">
        <v>108</v>
      </c>
      <c r="B99" s="33"/>
      <c r="C99" s="25"/>
      <c r="D99" s="25">
        <f>D87+D91+D95</f>
        <v>317</v>
      </c>
    </row>
    <row r="100" spans="1:4" ht="24">
      <c r="A100" s="27"/>
      <c r="B100" s="133" t="s">
        <v>92</v>
      </c>
      <c r="C100" s="117" t="s">
        <v>93</v>
      </c>
      <c r="D100" s="117" t="s">
        <v>107</v>
      </c>
    </row>
    <row r="101" spans="1:4" ht="12.75">
      <c r="A101" s="118" t="s">
        <v>105</v>
      </c>
      <c r="B101" s="32"/>
      <c r="C101" s="25"/>
      <c r="D101" s="25"/>
    </row>
    <row r="102" spans="1:5" ht="12.75">
      <c r="A102" s="31" t="s">
        <v>91</v>
      </c>
      <c r="B102" s="34">
        <v>15</v>
      </c>
      <c r="C102" s="25">
        <v>2</v>
      </c>
      <c r="D102" s="25">
        <f>B102*C102</f>
        <v>30</v>
      </c>
      <c r="E102" s="23"/>
    </row>
    <row r="103" spans="1:5" ht="12.75">
      <c r="A103" s="129" t="s">
        <v>90</v>
      </c>
      <c r="B103" s="34">
        <v>10</v>
      </c>
      <c r="C103" s="25">
        <v>3</v>
      </c>
      <c r="D103" s="25">
        <f>B103*C103</f>
        <v>30</v>
      </c>
      <c r="E103" s="5"/>
    </row>
    <row r="104" spans="1:5" ht="12.75">
      <c r="A104" s="129"/>
      <c r="B104" s="34"/>
      <c r="C104" s="25"/>
      <c r="D104" s="25"/>
      <c r="E104" s="5"/>
    </row>
    <row r="105" spans="1:5" ht="12.75">
      <c r="A105" s="118" t="s">
        <v>111</v>
      </c>
      <c r="B105" s="34"/>
      <c r="C105" s="25"/>
      <c r="D105" s="25">
        <f>D102+D103</f>
        <v>60</v>
      </c>
      <c r="E105" s="5"/>
    </row>
    <row r="106" spans="1:5" ht="12.75">
      <c r="A106" s="119" t="s">
        <v>94</v>
      </c>
      <c r="B106" s="134"/>
      <c r="C106" s="120">
        <f>SUM(C87:C105)</f>
        <v>19</v>
      </c>
      <c r="D106" s="120"/>
      <c r="E106" s="5"/>
    </row>
    <row r="107" spans="1:5" ht="12.75">
      <c r="A107" s="142" t="s">
        <v>195</v>
      </c>
      <c r="B107" s="19"/>
      <c r="C107" s="116">
        <v>2</v>
      </c>
      <c r="D107" s="116"/>
      <c r="E107" s="5"/>
    </row>
    <row r="108" spans="1:5" ht="24">
      <c r="A108" s="27" t="s">
        <v>178</v>
      </c>
      <c r="B108" s="133" t="s">
        <v>89</v>
      </c>
      <c r="C108" s="117" t="s">
        <v>133</v>
      </c>
      <c r="D108" s="117" t="s">
        <v>134</v>
      </c>
      <c r="E108" s="117" t="s">
        <v>135</v>
      </c>
    </row>
    <row r="109" spans="1:5" ht="12.75">
      <c r="A109" s="115" t="s">
        <v>53</v>
      </c>
      <c r="B109" s="34"/>
      <c r="C109" s="25"/>
      <c r="D109" s="25"/>
      <c r="E109" s="25"/>
    </row>
    <row r="110" spans="1:5" ht="12.75">
      <c r="A110" s="31" t="s">
        <v>77</v>
      </c>
      <c r="B110" s="34">
        <v>30</v>
      </c>
      <c r="C110" s="25">
        <v>0</v>
      </c>
      <c r="D110" s="25">
        <v>0</v>
      </c>
      <c r="E110" s="25">
        <v>0</v>
      </c>
    </row>
    <row r="111" spans="1:5" ht="12.75">
      <c r="A111" s="31" t="s">
        <v>78</v>
      </c>
      <c r="B111" s="34">
        <v>62</v>
      </c>
      <c r="C111" s="25">
        <v>0</v>
      </c>
      <c r="D111" s="25">
        <v>0</v>
      </c>
      <c r="E111" s="25">
        <v>0</v>
      </c>
    </row>
    <row r="112" spans="1:5" ht="12.75">
      <c r="A112" s="31" t="s">
        <v>82</v>
      </c>
      <c r="B112" s="34">
        <v>60</v>
      </c>
      <c r="C112" s="25">
        <v>0</v>
      </c>
      <c r="D112" s="25">
        <v>0</v>
      </c>
      <c r="E112" s="25">
        <v>0</v>
      </c>
    </row>
    <row r="113" spans="1:5" ht="12.75">
      <c r="A113" s="115" t="s">
        <v>54</v>
      </c>
      <c r="B113" s="15"/>
      <c r="C113" s="30"/>
      <c r="D113" s="30"/>
      <c r="E113" s="30"/>
    </row>
    <row r="114" spans="1:5" ht="12.75">
      <c r="A114" s="31" t="s">
        <v>79</v>
      </c>
      <c r="B114" s="34">
        <v>44</v>
      </c>
      <c r="C114" s="25">
        <v>1</v>
      </c>
      <c r="D114" s="25">
        <v>1</v>
      </c>
      <c r="E114" s="25">
        <v>1</v>
      </c>
    </row>
    <row r="115" spans="1:5" ht="12.75">
      <c r="A115" s="31" t="s">
        <v>78</v>
      </c>
      <c r="B115" s="34">
        <v>80</v>
      </c>
      <c r="C115" s="25">
        <v>1</v>
      </c>
      <c r="D115" s="25">
        <v>1</v>
      </c>
      <c r="E115" s="25">
        <v>1</v>
      </c>
    </row>
    <row r="116" spans="1:5" ht="12.75">
      <c r="A116" s="31" t="s">
        <v>83</v>
      </c>
      <c r="B116" s="34">
        <v>60</v>
      </c>
      <c r="C116" s="25">
        <v>1</v>
      </c>
      <c r="D116" s="25">
        <v>1</v>
      </c>
      <c r="E116" s="25">
        <v>1</v>
      </c>
    </row>
    <row r="117" spans="1:5" ht="12.75">
      <c r="A117" s="115" t="s">
        <v>55</v>
      </c>
      <c r="B117" s="34"/>
      <c r="C117" s="25"/>
      <c r="D117" s="25"/>
      <c r="E117" s="25"/>
    </row>
    <row r="118" spans="1:5" ht="12.75">
      <c r="A118" s="31" t="s">
        <v>80</v>
      </c>
      <c r="B118" s="34">
        <v>65</v>
      </c>
      <c r="C118" s="25">
        <v>1</v>
      </c>
      <c r="D118" s="25">
        <v>1</v>
      </c>
      <c r="E118" s="25">
        <v>1</v>
      </c>
    </row>
    <row r="119" spans="1:5" ht="12.75">
      <c r="A119" s="31" t="s">
        <v>81</v>
      </c>
      <c r="B119" s="34">
        <v>0</v>
      </c>
      <c r="C119" s="25">
        <v>0</v>
      </c>
      <c r="D119" s="25">
        <v>0</v>
      </c>
      <c r="E119" s="25">
        <v>0</v>
      </c>
    </row>
    <row r="120" spans="1:5" ht="12.75">
      <c r="A120" s="115" t="s">
        <v>84</v>
      </c>
      <c r="B120" s="34"/>
      <c r="C120" s="25">
        <v>1</v>
      </c>
      <c r="D120" s="25">
        <v>1</v>
      </c>
      <c r="E120" s="25">
        <v>1</v>
      </c>
    </row>
    <row r="121" spans="1:5" ht="12.75">
      <c r="A121" s="115"/>
      <c r="B121" s="34"/>
      <c r="C121" s="25"/>
      <c r="D121" s="25"/>
      <c r="E121" s="25"/>
    </row>
    <row r="122" spans="1:5" ht="24">
      <c r="A122" s="27"/>
      <c r="B122" s="133" t="s">
        <v>92</v>
      </c>
      <c r="C122" s="117" t="s">
        <v>93</v>
      </c>
      <c r="D122" s="117" t="s">
        <v>93</v>
      </c>
      <c r="E122" s="117" t="s">
        <v>93</v>
      </c>
    </row>
    <row r="123" spans="1:5" ht="12.75">
      <c r="A123" s="118" t="s">
        <v>105</v>
      </c>
      <c r="B123" s="32"/>
      <c r="C123" s="25"/>
      <c r="D123" s="25"/>
      <c r="E123" s="25"/>
    </row>
    <row r="124" spans="1:5" ht="12.75">
      <c r="A124" s="31" t="s">
        <v>91</v>
      </c>
      <c r="B124" s="34">
        <v>15</v>
      </c>
      <c r="C124" s="25">
        <v>1</v>
      </c>
      <c r="D124" s="25">
        <v>1</v>
      </c>
      <c r="E124" s="25">
        <v>1</v>
      </c>
    </row>
    <row r="125" spans="1:5" ht="12.75">
      <c r="A125" s="129" t="s">
        <v>90</v>
      </c>
      <c r="B125" s="34">
        <v>10</v>
      </c>
      <c r="C125" s="25">
        <v>1</v>
      </c>
      <c r="D125" s="25">
        <v>1</v>
      </c>
      <c r="E125" s="25">
        <v>1</v>
      </c>
    </row>
    <row r="126" spans="1:5" ht="12.75">
      <c r="A126" s="129"/>
      <c r="B126" s="34"/>
      <c r="C126" s="25"/>
      <c r="D126" s="25"/>
      <c r="E126" s="25"/>
    </row>
    <row r="127" spans="1:5" ht="12.75">
      <c r="A127" s="119" t="s">
        <v>94</v>
      </c>
      <c r="B127" s="134"/>
      <c r="C127" s="120">
        <f>SUM(C110:C126)</f>
        <v>7</v>
      </c>
      <c r="D127" s="120">
        <f>SUM(D110:D126)</f>
        <v>7</v>
      </c>
      <c r="E127" s="120">
        <f>SUM(E110:E126)</f>
        <v>7</v>
      </c>
    </row>
    <row r="128" spans="1:5" ht="12.75">
      <c r="A128" s="121"/>
      <c r="B128" s="15"/>
      <c r="C128" s="30"/>
      <c r="D128" s="30"/>
      <c r="E128" s="30"/>
    </row>
    <row r="129" spans="1:5" ht="12.75">
      <c r="A129" s="142" t="s">
        <v>195</v>
      </c>
      <c r="B129" s="19"/>
      <c r="C129" s="116">
        <v>2</v>
      </c>
      <c r="D129" s="116">
        <v>2</v>
      </c>
      <c r="E129" s="116">
        <v>2</v>
      </c>
    </row>
    <row r="130" spans="1:5" ht="12.75">
      <c r="A130" s="146"/>
      <c r="B130" s="21"/>
      <c r="C130" s="21"/>
      <c r="D130" s="21"/>
      <c r="E130" s="21"/>
    </row>
    <row r="131" spans="1:5" ht="12.75">
      <c r="A131" s="146"/>
      <c r="B131" s="21"/>
      <c r="C131" s="21"/>
      <c r="D131" s="21"/>
      <c r="E131" s="21"/>
    </row>
    <row r="132" spans="1:5" ht="24">
      <c r="A132" s="27" t="s">
        <v>177</v>
      </c>
      <c r="B132" s="133" t="s">
        <v>89</v>
      </c>
      <c r="C132" s="117" t="s">
        <v>133</v>
      </c>
      <c r="D132" s="117" t="s">
        <v>134</v>
      </c>
      <c r="E132" s="117" t="s">
        <v>135</v>
      </c>
    </row>
    <row r="133" spans="1:5" ht="12.75">
      <c r="A133" s="115" t="s">
        <v>53</v>
      </c>
      <c r="B133" s="34"/>
      <c r="C133" s="25"/>
      <c r="D133" s="25"/>
      <c r="E133" s="25"/>
    </row>
    <row r="134" spans="1:5" ht="12.75">
      <c r="A134" s="31" t="s">
        <v>77</v>
      </c>
      <c r="B134" s="34">
        <v>30</v>
      </c>
      <c r="C134" s="25">
        <v>0</v>
      </c>
      <c r="D134" s="25">
        <v>0</v>
      </c>
      <c r="E134" s="25">
        <v>0</v>
      </c>
    </row>
    <row r="135" spans="1:5" ht="12.75">
      <c r="A135" s="31" t="s">
        <v>78</v>
      </c>
      <c r="B135" s="34">
        <v>62</v>
      </c>
      <c r="C135" s="25">
        <v>0</v>
      </c>
      <c r="D135" s="25">
        <v>0</v>
      </c>
      <c r="E135" s="25">
        <v>0</v>
      </c>
    </row>
    <row r="136" spans="1:5" ht="12.75">
      <c r="A136" s="31" t="s">
        <v>82</v>
      </c>
      <c r="B136" s="34">
        <v>60</v>
      </c>
      <c r="C136" s="25">
        <v>0</v>
      </c>
      <c r="D136" s="25">
        <v>0</v>
      </c>
      <c r="E136" s="25">
        <v>0</v>
      </c>
    </row>
    <row r="137" spans="1:5" ht="12.75">
      <c r="A137" s="115" t="s">
        <v>54</v>
      </c>
      <c r="B137" s="15"/>
      <c r="C137" s="30"/>
      <c r="D137" s="30"/>
      <c r="E137" s="30"/>
    </row>
    <row r="138" spans="1:5" ht="12.75">
      <c r="A138" s="31" t="s">
        <v>79</v>
      </c>
      <c r="B138" s="34">
        <v>44</v>
      </c>
      <c r="C138" s="25">
        <f>C114*B114</f>
        <v>44</v>
      </c>
      <c r="D138" s="25">
        <f>D114*B114</f>
        <v>44</v>
      </c>
      <c r="E138" s="25">
        <f>E114*B114</f>
        <v>44</v>
      </c>
    </row>
    <row r="139" spans="1:5" ht="12.75">
      <c r="A139" s="31" t="s">
        <v>78</v>
      </c>
      <c r="B139" s="34">
        <v>80</v>
      </c>
      <c r="C139" s="25"/>
      <c r="D139" s="25"/>
      <c r="E139" s="25"/>
    </row>
    <row r="140" spans="1:5" ht="12.75">
      <c r="A140" s="31" t="s">
        <v>83</v>
      </c>
      <c r="B140" s="34">
        <v>60</v>
      </c>
      <c r="C140" s="25"/>
      <c r="D140" s="25"/>
      <c r="E140" s="25"/>
    </row>
    <row r="141" spans="1:5" ht="12.75">
      <c r="A141" s="115" t="s">
        <v>55</v>
      </c>
      <c r="B141" s="34"/>
      <c r="C141" s="25"/>
      <c r="D141" s="25"/>
      <c r="E141" s="25"/>
    </row>
    <row r="142" spans="1:5" ht="12.75">
      <c r="A142" s="31" t="s">
        <v>80</v>
      </c>
      <c r="B142" s="34">
        <v>65</v>
      </c>
      <c r="C142" s="25">
        <f>C118*B118</f>
        <v>65</v>
      </c>
      <c r="D142" s="25">
        <f>D118*B118</f>
        <v>65</v>
      </c>
      <c r="E142" s="25">
        <f>E118*B118</f>
        <v>65</v>
      </c>
    </row>
    <row r="143" spans="1:5" ht="12.75">
      <c r="A143" s="31" t="s">
        <v>81</v>
      </c>
      <c r="B143" s="34">
        <v>0</v>
      </c>
      <c r="C143" s="25"/>
      <c r="D143" s="25"/>
      <c r="E143" s="25"/>
    </row>
    <row r="144" spans="1:5" ht="12.75">
      <c r="A144" s="115" t="s">
        <v>84</v>
      </c>
      <c r="B144" s="34"/>
      <c r="C144" s="25">
        <v>1</v>
      </c>
      <c r="D144" s="25">
        <v>1</v>
      </c>
      <c r="E144" s="25">
        <v>1</v>
      </c>
    </row>
    <row r="145" spans="1:5" ht="12.75">
      <c r="A145" s="115"/>
      <c r="B145" s="34"/>
      <c r="C145" s="25"/>
      <c r="D145" s="25"/>
      <c r="E145" s="25"/>
    </row>
    <row r="146" spans="1:5" ht="12.75">
      <c r="A146" s="115" t="s">
        <v>108</v>
      </c>
      <c r="B146" s="34"/>
      <c r="C146" s="120">
        <f>C138+C142</f>
        <v>109</v>
      </c>
      <c r="D146" s="120">
        <f>D138+D142</f>
        <v>109</v>
      </c>
      <c r="E146" s="120">
        <f>E138+E142</f>
        <v>109</v>
      </c>
    </row>
    <row r="147" spans="1:5" ht="24">
      <c r="A147" s="27"/>
      <c r="B147" s="133" t="s">
        <v>92</v>
      </c>
      <c r="C147" s="117" t="s">
        <v>93</v>
      </c>
      <c r="D147" s="117" t="s">
        <v>93</v>
      </c>
      <c r="E147" s="117" t="s">
        <v>93</v>
      </c>
    </row>
    <row r="148" spans="1:5" ht="12.75">
      <c r="A148" s="118" t="s">
        <v>105</v>
      </c>
      <c r="B148" s="32"/>
      <c r="C148" s="25"/>
      <c r="D148" s="25"/>
      <c r="E148" s="25"/>
    </row>
    <row r="149" spans="1:5" ht="12.75">
      <c r="A149" s="31" t="s">
        <v>91</v>
      </c>
      <c r="B149" s="34">
        <v>15</v>
      </c>
      <c r="C149" s="25">
        <f>C124*B124</f>
        <v>15</v>
      </c>
      <c r="D149" s="25">
        <f>D124*B124</f>
        <v>15</v>
      </c>
      <c r="E149" s="25">
        <f>E124*B124</f>
        <v>15</v>
      </c>
    </row>
    <row r="150" spans="1:5" ht="12.75">
      <c r="A150" s="129" t="s">
        <v>90</v>
      </c>
      <c r="B150" s="34">
        <v>10</v>
      </c>
      <c r="C150" s="25">
        <f>C125*B125</f>
        <v>10</v>
      </c>
      <c r="D150" s="25">
        <f>D125*B125</f>
        <v>10</v>
      </c>
      <c r="E150" s="25">
        <f>E125*B125</f>
        <v>10</v>
      </c>
    </row>
    <row r="151" spans="1:5" ht="12.75">
      <c r="A151" s="129"/>
      <c r="B151" s="34"/>
      <c r="C151" s="25"/>
      <c r="D151" s="25"/>
      <c r="E151" s="25"/>
    </row>
    <row r="152" spans="1:5" ht="12.75">
      <c r="A152" s="141" t="s">
        <v>111</v>
      </c>
      <c r="B152" s="33"/>
      <c r="C152" s="147">
        <f>C149+C150</f>
        <v>25</v>
      </c>
      <c r="D152" s="147">
        <f>D149+D150</f>
        <v>25</v>
      </c>
      <c r="E152" s="147">
        <f>E149+E150</f>
        <v>25</v>
      </c>
    </row>
    <row r="153" spans="1:5" ht="12.75">
      <c r="A153" s="5"/>
      <c r="B153" s="9"/>
      <c r="C153" s="9"/>
      <c r="D153" s="9"/>
      <c r="E153" s="5"/>
    </row>
    <row r="154" ht="12.75">
      <c r="A154" s="3"/>
    </row>
  </sheetData>
  <printOptions/>
  <pageMargins left="0.75" right="0.75" top="1" bottom="1" header="0.5" footer="0.5"/>
  <pageSetup horizontalDpi="300" verticalDpi="300" orientation="landscape" scale="75" r:id="rId1"/>
  <rowBreaks count="3" manualBreakCount="3">
    <brk id="34" max="255" man="1"/>
    <brk id="69" max="255" man="1"/>
    <brk id="107" max="255" man="1"/>
  </rowBreaks>
</worksheet>
</file>

<file path=xl/worksheets/sheet3.xml><?xml version="1.0" encoding="utf-8"?>
<worksheet xmlns="http://schemas.openxmlformats.org/spreadsheetml/2006/main" xmlns:r="http://schemas.openxmlformats.org/officeDocument/2006/relationships">
  <sheetPr>
    <tabColor indexed="44"/>
  </sheetPr>
  <dimension ref="A1:E27"/>
  <sheetViews>
    <sheetView workbookViewId="0" topLeftCell="A1">
      <selection activeCell="D18" sqref="D18"/>
    </sheetView>
  </sheetViews>
  <sheetFormatPr defaultColWidth="9.140625" defaultRowHeight="12.75"/>
  <cols>
    <col min="1" max="1" width="15.7109375" style="0" customWidth="1"/>
    <col min="2" max="3" width="25.7109375" style="0" customWidth="1"/>
    <col min="4" max="5" width="30.7109375" style="0" customWidth="1"/>
  </cols>
  <sheetData>
    <row r="1" ht="15.75">
      <c r="A1" s="6" t="s">
        <v>317</v>
      </c>
    </row>
    <row r="2" ht="15.75">
      <c r="A2" s="6" t="s">
        <v>192</v>
      </c>
    </row>
    <row r="3" spans="1:4" ht="12.75">
      <c r="A3" s="145"/>
      <c r="B3" s="47"/>
      <c r="C3" s="47"/>
      <c r="D3" s="47"/>
    </row>
    <row r="4" spans="1:4" ht="12.75">
      <c r="A4" s="47"/>
      <c r="B4" s="47"/>
      <c r="C4" s="47"/>
      <c r="D4" s="47"/>
    </row>
    <row r="5" spans="1:5" ht="12.75">
      <c r="A5" s="160" t="s">
        <v>142</v>
      </c>
      <c r="B5" s="64" t="s">
        <v>143</v>
      </c>
      <c r="C5" s="64" t="s">
        <v>152</v>
      </c>
      <c r="D5" s="61" t="s">
        <v>148</v>
      </c>
      <c r="E5" s="61" t="s">
        <v>184</v>
      </c>
    </row>
    <row r="6" spans="1:5" ht="12.75">
      <c r="A6" s="153" t="s">
        <v>53</v>
      </c>
      <c r="B6" s="32" t="s">
        <v>146</v>
      </c>
      <c r="C6" s="161" t="s">
        <v>145</v>
      </c>
      <c r="D6" s="154" t="s">
        <v>149</v>
      </c>
      <c r="E6" s="154" t="s">
        <v>322</v>
      </c>
    </row>
    <row r="7" spans="1:5" ht="12.75">
      <c r="A7" s="129"/>
      <c r="B7" s="34"/>
      <c r="C7" s="162" t="s">
        <v>147</v>
      </c>
      <c r="D7" s="155" t="s">
        <v>150</v>
      </c>
      <c r="E7" s="155" t="s">
        <v>185</v>
      </c>
    </row>
    <row r="8" spans="1:5" ht="12.75">
      <c r="A8" s="156"/>
      <c r="B8" s="34"/>
      <c r="C8" s="162" t="s">
        <v>153</v>
      </c>
      <c r="D8" s="155" t="s">
        <v>151</v>
      </c>
      <c r="E8" s="155" t="s">
        <v>186</v>
      </c>
    </row>
    <row r="9" spans="1:5" ht="12.75">
      <c r="A9" s="129"/>
      <c r="B9" s="34"/>
      <c r="C9" s="162" t="s">
        <v>154</v>
      </c>
      <c r="D9" s="157"/>
      <c r="E9" s="155" t="s">
        <v>187</v>
      </c>
    </row>
    <row r="10" spans="1:5" ht="12.75">
      <c r="A10" s="158"/>
      <c r="B10" s="33"/>
      <c r="C10" s="163"/>
      <c r="D10" s="159"/>
      <c r="E10" s="183" t="s">
        <v>188</v>
      </c>
    </row>
    <row r="11" spans="1:5" ht="12.75">
      <c r="A11" s="118" t="s">
        <v>54</v>
      </c>
      <c r="B11" s="34" t="s">
        <v>155</v>
      </c>
      <c r="C11" s="162" t="s">
        <v>159</v>
      </c>
      <c r="D11" s="155" t="s">
        <v>160</v>
      </c>
      <c r="E11" s="155" t="s">
        <v>189</v>
      </c>
    </row>
    <row r="12" spans="1:5" ht="12.75">
      <c r="A12" s="129"/>
      <c r="B12" s="34"/>
      <c r="C12" s="162" t="s">
        <v>147</v>
      </c>
      <c r="D12" s="155" t="s">
        <v>150</v>
      </c>
      <c r="E12" s="155" t="s">
        <v>190</v>
      </c>
    </row>
    <row r="13" spans="1:5" ht="12.75">
      <c r="A13" s="129"/>
      <c r="B13" s="34"/>
      <c r="C13" s="162" t="s">
        <v>156</v>
      </c>
      <c r="D13" s="157"/>
      <c r="E13" s="157"/>
    </row>
    <row r="14" spans="1:5" ht="12.75">
      <c r="A14" s="156"/>
      <c r="B14" s="34"/>
      <c r="C14" s="162" t="s">
        <v>157</v>
      </c>
      <c r="D14" s="157"/>
      <c r="E14" s="157"/>
    </row>
    <row r="15" spans="1:5" ht="12.75">
      <c r="A15" s="158"/>
      <c r="B15" s="33"/>
      <c r="C15" s="163"/>
      <c r="D15" s="159"/>
      <c r="E15" s="159"/>
    </row>
    <row r="16" spans="1:5" ht="12.75">
      <c r="A16" s="119" t="s">
        <v>55</v>
      </c>
      <c r="B16" s="34" t="s">
        <v>144</v>
      </c>
      <c r="C16" s="162" t="s">
        <v>158</v>
      </c>
      <c r="D16" s="155" t="s">
        <v>160</v>
      </c>
      <c r="E16" s="155" t="s">
        <v>189</v>
      </c>
    </row>
    <row r="17" spans="1:5" ht="12.75">
      <c r="A17" s="156"/>
      <c r="B17" s="34" t="s">
        <v>183</v>
      </c>
      <c r="C17" s="162" t="s">
        <v>161</v>
      </c>
      <c r="D17" s="155" t="s">
        <v>150</v>
      </c>
      <c r="E17" s="155" t="s">
        <v>190</v>
      </c>
    </row>
    <row r="18" spans="1:5" ht="12.75">
      <c r="A18" s="156"/>
      <c r="B18" s="34"/>
      <c r="C18" s="162" t="s">
        <v>162</v>
      </c>
      <c r="D18" s="157"/>
      <c r="E18" s="157"/>
    </row>
    <row r="19" spans="1:5" ht="12.75">
      <c r="A19" s="158"/>
      <c r="B19" s="33"/>
      <c r="C19" s="163"/>
      <c r="D19" s="159"/>
      <c r="E19" s="159"/>
    </row>
    <row r="20" spans="1:4" ht="12.75">
      <c r="A20" s="47"/>
      <c r="B20" s="150"/>
      <c r="C20" s="151"/>
      <c r="D20" s="152"/>
    </row>
    <row r="21" spans="1:4" ht="12.75">
      <c r="A21" s="47"/>
      <c r="B21" s="150"/>
      <c r="C21" s="151"/>
      <c r="D21" s="152"/>
    </row>
    <row r="22" spans="1:4" ht="12.75">
      <c r="A22" s="47"/>
      <c r="B22" s="150"/>
      <c r="C22" s="151"/>
      <c r="D22" s="152"/>
    </row>
    <row r="23" spans="1:4" ht="12.75">
      <c r="A23" s="47"/>
      <c r="B23" s="150"/>
      <c r="C23" s="151"/>
      <c r="D23" s="152"/>
    </row>
    <row r="24" spans="1:4" ht="12.75">
      <c r="A24" s="47"/>
      <c r="B24" s="150"/>
      <c r="C24" s="150"/>
      <c r="D24" s="47"/>
    </row>
    <row r="25" spans="1:4" ht="12.75">
      <c r="A25" s="47"/>
      <c r="B25" s="150"/>
      <c r="C25" s="150"/>
      <c r="D25" s="47"/>
    </row>
    <row r="26" spans="1:4" ht="12.75">
      <c r="A26" s="47"/>
      <c r="B26" s="47"/>
      <c r="C26" s="47"/>
      <c r="D26" s="47"/>
    </row>
    <row r="27" spans="1:4" ht="12.75">
      <c r="A27" s="47"/>
      <c r="B27" s="47"/>
      <c r="C27" s="47"/>
      <c r="D27" s="47"/>
    </row>
  </sheetData>
  <printOptions/>
  <pageMargins left="0.75" right="0.75" top="1" bottom="1" header="0.5" footer="0.5"/>
  <pageSetup horizontalDpi="300" verticalDpi="300" orientation="landscape" scale="90" r:id="rId1"/>
</worksheet>
</file>

<file path=xl/worksheets/sheet4.xml><?xml version="1.0" encoding="utf-8"?>
<worksheet xmlns="http://schemas.openxmlformats.org/spreadsheetml/2006/main" xmlns:r="http://schemas.openxmlformats.org/officeDocument/2006/relationships">
  <sheetPr>
    <tabColor indexed="44"/>
  </sheetPr>
  <dimension ref="A1:D34"/>
  <sheetViews>
    <sheetView workbookViewId="0" topLeftCell="A1">
      <selection activeCell="A1" sqref="A1"/>
    </sheetView>
  </sheetViews>
  <sheetFormatPr defaultColWidth="9.140625" defaultRowHeight="12.75"/>
  <cols>
    <col min="1" max="3" width="30.7109375" style="0" customWidth="1"/>
  </cols>
  <sheetData>
    <row r="1" ht="15.75">
      <c r="A1" s="6" t="s">
        <v>317</v>
      </c>
    </row>
    <row r="2" ht="15.75">
      <c r="A2" s="6" t="s">
        <v>217</v>
      </c>
    </row>
    <row r="3" ht="15.75">
      <c r="A3" s="6"/>
    </row>
    <row r="4" ht="15.75">
      <c r="A4" s="6"/>
    </row>
    <row r="6" spans="1:3" ht="12.75">
      <c r="A6" s="160" t="s">
        <v>244</v>
      </c>
      <c r="B6" s="64" t="s">
        <v>245</v>
      </c>
      <c r="C6" s="5"/>
    </row>
    <row r="7" spans="1:3" ht="12.75">
      <c r="A7" s="200" t="s">
        <v>223</v>
      </c>
      <c r="B7" s="144" t="s">
        <v>223</v>
      </c>
      <c r="C7" s="5"/>
    </row>
    <row r="8" spans="1:3" ht="12.75">
      <c r="A8" s="201" t="s">
        <v>232</v>
      </c>
      <c r="B8" s="14" t="s">
        <v>232</v>
      </c>
      <c r="C8" s="5"/>
    </row>
    <row r="9" spans="1:3" ht="12.75">
      <c r="A9" s="201" t="s">
        <v>222</v>
      </c>
      <c r="B9" s="14" t="s">
        <v>222</v>
      </c>
      <c r="C9" s="5"/>
    </row>
    <row r="10" spans="1:3" ht="12.75">
      <c r="A10" s="201" t="s">
        <v>22</v>
      </c>
      <c r="B10" s="14" t="s">
        <v>22</v>
      </c>
      <c r="C10" s="5"/>
    </row>
    <row r="11" spans="1:3" ht="12.75">
      <c r="A11" s="201" t="s">
        <v>243</v>
      </c>
      <c r="B11" s="216" t="s">
        <v>243</v>
      </c>
      <c r="C11" s="5"/>
    </row>
    <row r="12" spans="1:3" ht="12.75">
      <c r="A12" s="201" t="s">
        <v>220</v>
      </c>
      <c r="B12" s="14" t="s">
        <v>220</v>
      </c>
      <c r="C12" s="5"/>
    </row>
    <row r="13" spans="1:3" ht="12.75">
      <c r="A13" s="201" t="s">
        <v>221</v>
      </c>
      <c r="B13" s="14" t="s">
        <v>218</v>
      </c>
      <c r="C13" s="5"/>
    </row>
    <row r="14" spans="1:3" ht="12.75">
      <c r="A14" s="201" t="s">
        <v>218</v>
      </c>
      <c r="B14" s="14" t="s">
        <v>219</v>
      </c>
      <c r="C14" s="5"/>
    </row>
    <row r="15" spans="1:3" ht="12.75">
      <c r="A15" s="201" t="s">
        <v>219</v>
      </c>
      <c r="B15" s="14" t="s">
        <v>224</v>
      </c>
      <c r="C15" s="5"/>
    </row>
    <row r="16" spans="1:3" ht="12.75">
      <c r="A16" s="201" t="s">
        <v>224</v>
      </c>
      <c r="B16" s="14"/>
      <c r="C16" s="5"/>
    </row>
    <row r="17" spans="1:3" ht="12.75">
      <c r="A17" s="202"/>
      <c r="B17" s="18"/>
      <c r="C17" s="5"/>
    </row>
    <row r="18" spans="1:4" ht="24">
      <c r="A18" s="203" t="s">
        <v>225</v>
      </c>
      <c r="B18" s="199"/>
      <c r="C18" s="199"/>
      <c r="D18" s="5"/>
    </row>
    <row r="19" spans="1:4" ht="12.75">
      <c r="A19" s="199"/>
      <c r="B19" s="199"/>
      <c r="C19" s="199"/>
      <c r="D19" s="5"/>
    </row>
    <row r="20" spans="1:4" ht="12.75">
      <c r="A20" s="199"/>
      <c r="B20" s="199"/>
      <c r="C20" s="199"/>
      <c r="D20" s="5"/>
    </row>
    <row r="21" spans="1:4" ht="12.75">
      <c r="A21" s="199"/>
      <c r="B21" s="199"/>
      <c r="C21" s="199"/>
      <c r="D21" s="5"/>
    </row>
    <row r="22" spans="1:4" ht="12.75">
      <c r="A22" s="199"/>
      <c r="B22" s="199"/>
      <c r="C22" s="199"/>
      <c r="D22" s="5"/>
    </row>
    <row r="23" spans="1:4" ht="12.75">
      <c r="A23" s="199"/>
      <c r="B23" s="199"/>
      <c r="C23" s="199"/>
      <c r="D23" s="5"/>
    </row>
    <row r="24" spans="1:4" ht="12.75">
      <c r="A24" s="199"/>
      <c r="B24" s="199"/>
      <c r="C24" s="199"/>
      <c r="D24" s="5"/>
    </row>
    <row r="25" spans="1:4" ht="12.75">
      <c r="A25" s="199"/>
      <c r="B25" s="199"/>
      <c r="C25" s="199"/>
      <c r="D25" s="5"/>
    </row>
    <row r="26" spans="1:4" ht="12.75">
      <c r="A26" s="199"/>
      <c r="B26" s="199"/>
      <c r="C26" s="199"/>
      <c r="D26" s="5"/>
    </row>
    <row r="27" spans="1:4" ht="12.75">
      <c r="A27" s="199"/>
      <c r="B27" s="199"/>
      <c r="C27" s="199"/>
      <c r="D27" s="5"/>
    </row>
    <row r="28" spans="1:4" ht="12.75">
      <c r="A28" s="199"/>
      <c r="B28" s="199"/>
      <c r="C28" s="199"/>
      <c r="D28" s="5"/>
    </row>
    <row r="29" spans="1:4" ht="12.75">
      <c r="A29" s="199"/>
      <c r="B29" s="199"/>
      <c r="C29" s="199"/>
      <c r="D29" s="5"/>
    </row>
    <row r="30" spans="1:4" ht="12.75">
      <c r="A30" s="199"/>
      <c r="B30" s="199"/>
      <c r="C30" s="199"/>
      <c r="D30" s="5"/>
    </row>
    <row r="31" spans="1:4" ht="12.75">
      <c r="A31" s="199"/>
      <c r="B31" s="199"/>
      <c r="C31" s="199"/>
      <c r="D31" s="5"/>
    </row>
    <row r="32" spans="1:4" ht="12.75">
      <c r="A32" s="5"/>
      <c r="B32" s="5"/>
      <c r="C32" s="5"/>
      <c r="D32" s="5"/>
    </row>
    <row r="33" spans="1:4" ht="12.75">
      <c r="A33" s="5"/>
      <c r="B33" s="5"/>
      <c r="C33" s="5"/>
      <c r="D33" s="5"/>
    </row>
    <row r="34" spans="1:4" ht="12.75">
      <c r="A34" s="5"/>
      <c r="B34" s="5"/>
      <c r="C34" s="5"/>
      <c r="D34" s="5"/>
    </row>
  </sheetData>
  <printOptions/>
  <pageMargins left="0.75" right="0.75" top="1" bottom="1"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sheetPr>
    <tabColor indexed="30"/>
  </sheetPr>
  <dimension ref="A1:L71"/>
  <sheetViews>
    <sheetView workbookViewId="0" topLeftCell="A1">
      <selection activeCell="A1" sqref="A1"/>
    </sheetView>
  </sheetViews>
  <sheetFormatPr defaultColWidth="9.140625" defaultRowHeight="12.75"/>
  <cols>
    <col min="1" max="1" width="25.7109375" style="0" customWidth="1"/>
    <col min="2" max="6" width="10.7109375" style="0" customWidth="1"/>
  </cols>
  <sheetData>
    <row r="1" ht="15.75">
      <c r="A1" s="6" t="s">
        <v>317</v>
      </c>
    </row>
    <row r="2" ht="15.75">
      <c r="A2" s="6" t="s">
        <v>191</v>
      </c>
    </row>
    <row r="3" ht="15.75">
      <c r="A3" s="6"/>
    </row>
    <row r="5" ht="15.75">
      <c r="A5" s="6" t="s">
        <v>139</v>
      </c>
    </row>
    <row r="6" ht="12.75">
      <c r="A6" s="47" t="s">
        <v>39</v>
      </c>
    </row>
    <row r="7" ht="12.75">
      <c r="A7" s="47" t="s">
        <v>40</v>
      </c>
    </row>
    <row r="9" spans="1:12" ht="24">
      <c r="A9" s="42" t="s">
        <v>37</v>
      </c>
      <c r="B9" s="64" t="s">
        <v>8</v>
      </c>
      <c r="C9" s="61" t="s">
        <v>265</v>
      </c>
      <c r="D9" s="61" t="s">
        <v>9</v>
      </c>
      <c r="E9" s="47"/>
      <c r="F9" s="47"/>
      <c r="G9" s="47"/>
      <c r="H9" s="47"/>
      <c r="I9" s="47"/>
      <c r="J9" s="47"/>
      <c r="K9" s="47"/>
      <c r="L9" s="47"/>
    </row>
    <row r="10" spans="1:12" ht="12.75">
      <c r="A10" s="85" t="s">
        <v>31</v>
      </c>
      <c r="B10" s="84"/>
      <c r="C10" s="59"/>
      <c r="D10" s="59"/>
      <c r="E10" s="47"/>
      <c r="F10" s="47"/>
      <c r="G10" s="47"/>
      <c r="H10" s="47"/>
      <c r="I10" s="47"/>
      <c r="J10" s="47"/>
      <c r="K10" s="47"/>
      <c r="L10" s="47"/>
    </row>
    <row r="11" spans="1:12" ht="12.75">
      <c r="A11" s="86" t="s">
        <v>52</v>
      </c>
      <c r="B11" s="59"/>
      <c r="C11" s="59"/>
      <c r="D11" s="59"/>
      <c r="E11" s="47"/>
      <c r="F11" s="47"/>
      <c r="G11" s="47"/>
      <c r="H11" s="47"/>
      <c r="I11" s="47"/>
      <c r="J11" s="47"/>
      <c r="K11" s="47"/>
      <c r="L11" s="47"/>
    </row>
    <row r="12" spans="1:12" ht="12.75">
      <c r="A12" s="62" t="s">
        <v>34</v>
      </c>
      <c r="B12" s="65">
        <v>675</v>
      </c>
      <c r="C12" s="65">
        <v>675</v>
      </c>
      <c r="D12" s="65">
        <v>675</v>
      </c>
      <c r="E12" s="47"/>
      <c r="F12" s="47"/>
      <c r="G12" s="47"/>
      <c r="H12" s="47"/>
      <c r="I12" s="47"/>
      <c r="J12" s="47"/>
      <c r="K12" s="47"/>
      <c r="L12" s="47"/>
    </row>
    <row r="13" spans="1:12" ht="12.75">
      <c r="A13" s="62" t="s">
        <v>35</v>
      </c>
      <c r="B13" s="65">
        <v>450</v>
      </c>
      <c r="C13" s="65">
        <v>450</v>
      </c>
      <c r="D13" s="65">
        <v>450</v>
      </c>
      <c r="E13" s="47"/>
      <c r="F13" s="47"/>
      <c r="G13" s="47"/>
      <c r="H13" s="47"/>
      <c r="I13" s="47"/>
      <c r="J13" s="47"/>
      <c r="K13" s="47"/>
      <c r="L13" s="47"/>
    </row>
    <row r="14" spans="1:12" ht="12.75">
      <c r="A14" s="62" t="s">
        <v>33</v>
      </c>
      <c r="B14" s="65">
        <v>175</v>
      </c>
      <c r="C14" s="65">
        <v>175</v>
      </c>
      <c r="D14" s="65">
        <v>175</v>
      </c>
      <c r="E14" s="47"/>
      <c r="F14" s="47"/>
      <c r="G14" s="47"/>
      <c r="H14" s="47"/>
      <c r="I14" s="47"/>
      <c r="J14" s="47"/>
      <c r="K14" s="47"/>
      <c r="L14" s="47"/>
    </row>
    <row r="15" spans="1:12" ht="12.75">
      <c r="A15" s="86"/>
      <c r="B15" s="59"/>
      <c r="C15" s="59"/>
      <c r="D15" s="59"/>
      <c r="E15" s="47"/>
      <c r="F15" s="47"/>
      <c r="G15" s="47"/>
      <c r="H15" s="47"/>
      <c r="I15" s="47"/>
      <c r="J15" s="47"/>
      <c r="K15" s="47"/>
      <c r="L15" s="47"/>
    </row>
    <row r="16" spans="1:12" ht="12.75">
      <c r="A16" s="86" t="s">
        <v>56</v>
      </c>
      <c r="B16" s="59"/>
      <c r="C16" s="59"/>
      <c r="D16" s="59"/>
      <c r="E16" s="47"/>
      <c r="F16" s="47"/>
      <c r="G16" s="47"/>
      <c r="H16" s="47"/>
      <c r="I16" s="47"/>
      <c r="J16" s="47"/>
      <c r="K16" s="47"/>
      <c r="L16" s="47"/>
    </row>
    <row r="17" spans="1:12" ht="12.75">
      <c r="A17" s="62" t="s">
        <v>34</v>
      </c>
      <c r="B17" s="65">
        <v>475</v>
      </c>
      <c r="C17" s="65">
        <v>475</v>
      </c>
      <c r="D17" s="65">
        <v>475</v>
      </c>
      <c r="E17" s="47"/>
      <c r="F17" s="47"/>
      <c r="G17" s="47"/>
      <c r="H17" s="47"/>
      <c r="I17" s="47"/>
      <c r="J17" s="47"/>
      <c r="K17" s="47"/>
      <c r="L17" s="47"/>
    </row>
    <row r="18" spans="1:12" ht="12.75">
      <c r="A18" s="62" t="s">
        <v>35</v>
      </c>
      <c r="B18" s="65">
        <f>B13*0.7</f>
        <v>315</v>
      </c>
      <c r="C18" s="65">
        <f>C13*0.7</f>
        <v>315</v>
      </c>
      <c r="D18" s="65">
        <f>D13*0.7</f>
        <v>315</v>
      </c>
      <c r="E18" s="47"/>
      <c r="F18" s="47"/>
      <c r="G18" s="47"/>
      <c r="H18" s="47"/>
      <c r="I18" s="47"/>
      <c r="J18" s="47"/>
      <c r="K18" s="47"/>
      <c r="L18" s="47"/>
    </row>
    <row r="19" spans="1:12" ht="12.75">
      <c r="A19" s="62" t="s">
        <v>33</v>
      </c>
      <c r="B19" s="65">
        <v>125</v>
      </c>
      <c r="C19" s="65">
        <v>125</v>
      </c>
      <c r="D19" s="65">
        <v>125</v>
      </c>
      <c r="E19" s="47"/>
      <c r="F19" s="47"/>
      <c r="G19" s="47"/>
      <c r="H19" s="47"/>
      <c r="I19" s="47"/>
      <c r="J19" s="47"/>
      <c r="K19" s="47"/>
      <c r="L19" s="47"/>
    </row>
    <row r="20" spans="1:12" ht="12.75">
      <c r="A20" s="63"/>
      <c r="B20" s="60"/>
      <c r="C20" s="60"/>
      <c r="D20" s="60"/>
      <c r="E20" s="47"/>
      <c r="F20" s="47"/>
      <c r="G20" s="47"/>
      <c r="H20" s="47"/>
      <c r="I20" s="47"/>
      <c r="J20" s="47"/>
      <c r="K20" s="47"/>
      <c r="L20" s="47"/>
    </row>
    <row r="21" spans="1:12" ht="12.75">
      <c r="A21" s="86" t="s">
        <v>32</v>
      </c>
      <c r="B21" s="59"/>
      <c r="C21" s="59"/>
      <c r="D21" s="59"/>
      <c r="E21" s="47"/>
      <c r="F21" s="47"/>
      <c r="G21" s="47"/>
      <c r="H21" s="47"/>
      <c r="I21" s="47"/>
      <c r="J21" s="47"/>
      <c r="K21" s="47"/>
      <c r="L21" s="47"/>
    </row>
    <row r="22" spans="1:12" ht="12.75">
      <c r="A22" s="62" t="s">
        <v>95</v>
      </c>
      <c r="B22" s="122">
        <v>0.35</v>
      </c>
      <c r="C22" s="122">
        <v>0.35</v>
      </c>
      <c r="D22" s="122">
        <v>0.35</v>
      </c>
      <c r="E22" s="47"/>
      <c r="F22" s="47"/>
      <c r="G22" s="47"/>
      <c r="H22" s="47"/>
      <c r="I22" s="47"/>
      <c r="J22" s="47"/>
      <c r="K22" s="47"/>
      <c r="L22" s="47"/>
    </row>
    <row r="23" spans="1:12" ht="12.75">
      <c r="A23" s="62" t="s">
        <v>96</v>
      </c>
      <c r="B23" s="122">
        <v>0.45</v>
      </c>
      <c r="C23" s="122">
        <v>0.45</v>
      </c>
      <c r="D23" s="122">
        <v>0.45</v>
      </c>
      <c r="E23" s="47"/>
      <c r="F23" s="47"/>
      <c r="G23" s="47"/>
      <c r="H23" s="47"/>
      <c r="I23" s="47"/>
      <c r="J23" s="47"/>
      <c r="K23" s="47"/>
      <c r="L23" s="47"/>
    </row>
    <row r="24" spans="1:12" ht="12.75">
      <c r="A24" s="63" t="s">
        <v>97</v>
      </c>
      <c r="B24" s="137">
        <v>0.25</v>
      </c>
      <c r="C24" s="137">
        <v>0.25</v>
      </c>
      <c r="D24" s="137">
        <v>0.25</v>
      </c>
      <c r="E24" s="47"/>
      <c r="F24" s="47"/>
      <c r="G24" s="47"/>
      <c r="H24" s="47"/>
      <c r="I24" s="47"/>
      <c r="J24" s="47"/>
      <c r="K24" s="47"/>
      <c r="L24" s="47"/>
    </row>
    <row r="25" spans="5:12" ht="12.75">
      <c r="E25" s="47"/>
      <c r="F25" s="47"/>
      <c r="G25" s="47"/>
      <c r="H25" s="47"/>
      <c r="I25" s="47"/>
      <c r="J25" s="47"/>
      <c r="K25" s="47"/>
      <c r="L25" s="47"/>
    </row>
    <row r="26" spans="1:12" ht="12.75">
      <c r="A26" s="47"/>
      <c r="B26" s="47"/>
      <c r="C26" s="47"/>
      <c r="D26" s="47"/>
      <c r="E26" s="47"/>
      <c r="F26" s="47"/>
      <c r="G26" s="47"/>
      <c r="H26" s="47"/>
      <c r="I26" s="47"/>
      <c r="J26" s="47"/>
      <c r="K26" s="47"/>
      <c r="L26" s="47"/>
    </row>
    <row r="27" spans="1:12" ht="24">
      <c r="A27" s="42" t="s">
        <v>38</v>
      </c>
      <c r="B27" s="64" t="s">
        <v>8</v>
      </c>
      <c r="C27" s="61" t="s">
        <v>265</v>
      </c>
      <c r="D27" s="61" t="s">
        <v>9</v>
      </c>
      <c r="E27" s="47"/>
      <c r="F27" s="47"/>
      <c r="G27" s="47"/>
      <c r="H27" s="47"/>
      <c r="I27" s="47"/>
      <c r="J27" s="47"/>
      <c r="K27" s="47"/>
      <c r="L27" s="47"/>
    </row>
    <row r="28" spans="1:12" ht="12.75">
      <c r="A28" s="85" t="s">
        <v>31</v>
      </c>
      <c r="B28" s="84"/>
      <c r="C28" s="59"/>
      <c r="D28" s="59"/>
      <c r="E28" s="47"/>
      <c r="F28" s="47"/>
      <c r="G28" s="47"/>
      <c r="H28" s="47"/>
      <c r="I28" s="47"/>
      <c r="J28" s="47"/>
      <c r="K28" s="47"/>
      <c r="L28" s="47"/>
    </row>
    <row r="29" spans="1:12" ht="12.75">
      <c r="A29" s="86" t="s">
        <v>52</v>
      </c>
      <c r="B29" s="59"/>
      <c r="C29" s="59"/>
      <c r="D29" s="59"/>
      <c r="E29" s="47"/>
      <c r="F29" s="47"/>
      <c r="G29" s="47"/>
      <c r="H29" s="47"/>
      <c r="I29" s="47"/>
      <c r="J29" s="47"/>
      <c r="K29" s="47"/>
      <c r="L29" s="47"/>
    </row>
    <row r="30" spans="1:12" ht="12.75">
      <c r="A30" s="62" t="s">
        <v>34</v>
      </c>
      <c r="B30" s="65">
        <v>750</v>
      </c>
      <c r="C30" s="65">
        <v>750</v>
      </c>
      <c r="D30" s="65">
        <v>750</v>
      </c>
      <c r="E30" s="47"/>
      <c r="F30" s="47"/>
      <c r="G30" s="47"/>
      <c r="H30" s="47"/>
      <c r="I30" s="47"/>
      <c r="J30" s="47"/>
      <c r="K30" s="47"/>
      <c r="L30" s="47"/>
    </row>
    <row r="31" spans="1:12" ht="12.75">
      <c r="A31" s="62" t="s">
        <v>35</v>
      </c>
      <c r="B31" s="65">
        <v>500</v>
      </c>
      <c r="C31" s="65">
        <v>500</v>
      </c>
      <c r="D31" s="65">
        <v>500</v>
      </c>
      <c r="E31" s="47"/>
      <c r="F31" s="47"/>
      <c r="G31" s="47"/>
      <c r="H31" s="47"/>
      <c r="I31" s="47"/>
      <c r="J31" s="47"/>
      <c r="K31" s="47"/>
      <c r="L31" s="47"/>
    </row>
    <row r="32" spans="1:12" ht="12.75">
      <c r="A32" s="62" t="s">
        <v>33</v>
      </c>
      <c r="B32" s="65">
        <v>200</v>
      </c>
      <c r="C32" s="65">
        <v>200</v>
      </c>
      <c r="D32" s="65">
        <v>200</v>
      </c>
      <c r="E32" s="47"/>
      <c r="F32" s="47"/>
      <c r="G32" s="47"/>
      <c r="H32" s="47"/>
      <c r="I32" s="47"/>
      <c r="J32" s="47"/>
      <c r="K32" s="47"/>
      <c r="L32" s="47"/>
    </row>
    <row r="33" spans="1:12" ht="12.75">
      <c r="A33" s="62"/>
      <c r="B33" s="65"/>
      <c r="C33" s="65"/>
      <c r="D33" s="65"/>
      <c r="E33" s="47"/>
      <c r="F33" s="47"/>
      <c r="G33" s="47"/>
      <c r="H33" s="47"/>
      <c r="I33" s="47"/>
      <c r="J33" s="47"/>
      <c r="K33" s="47"/>
      <c r="L33" s="47"/>
    </row>
    <row r="34" spans="1:12" ht="12.75">
      <c r="A34" s="86" t="s">
        <v>56</v>
      </c>
      <c r="B34" s="65"/>
      <c r="C34" s="65"/>
      <c r="D34" s="65"/>
      <c r="E34" s="47"/>
      <c r="F34" s="47"/>
      <c r="G34" s="47"/>
      <c r="H34" s="47"/>
      <c r="I34" s="47"/>
      <c r="J34" s="47"/>
      <c r="K34" s="47"/>
      <c r="L34" s="47"/>
    </row>
    <row r="35" spans="1:12" ht="12.75">
      <c r="A35" s="62" t="s">
        <v>34</v>
      </c>
      <c r="B35" s="65">
        <f aca="true" t="shared" si="0" ref="B35:D37">B30*0.7</f>
        <v>525</v>
      </c>
      <c r="C35" s="65">
        <f t="shared" si="0"/>
        <v>525</v>
      </c>
      <c r="D35" s="65">
        <f t="shared" si="0"/>
        <v>525</v>
      </c>
      <c r="E35" s="47"/>
      <c r="F35" s="47"/>
      <c r="G35" s="47"/>
      <c r="H35" s="47"/>
      <c r="I35" s="47"/>
      <c r="J35" s="47"/>
      <c r="K35" s="47"/>
      <c r="L35" s="47"/>
    </row>
    <row r="36" spans="1:12" ht="12.75">
      <c r="A36" s="62" t="s">
        <v>35</v>
      </c>
      <c r="B36" s="65">
        <f t="shared" si="0"/>
        <v>350</v>
      </c>
      <c r="C36" s="65">
        <f t="shared" si="0"/>
        <v>350</v>
      </c>
      <c r="D36" s="65">
        <f t="shared" si="0"/>
        <v>350</v>
      </c>
      <c r="E36" s="47"/>
      <c r="F36" s="47"/>
      <c r="G36" s="47"/>
      <c r="H36" s="47"/>
      <c r="I36" s="47"/>
      <c r="J36" s="47"/>
      <c r="K36" s="47"/>
      <c r="L36" s="47"/>
    </row>
    <row r="37" spans="1:12" ht="12.75">
      <c r="A37" s="63" t="s">
        <v>33</v>
      </c>
      <c r="B37" s="104">
        <f t="shared" si="0"/>
        <v>140</v>
      </c>
      <c r="C37" s="104">
        <f t="shared" si="0"/>
        <v>140</v>
      </c>
      <c r="D37" s="104">
        <f t="shared" si="0"/>
        <v>140</v>
      </c>
      <c r="E37" s="47"/>
      <c r="F37" s="47"/>
      <c r="G37" s="47"/>
      <c r="H37" s="47"/>
      <c r="I37" s="47"/>
      <c r="J37" s="47"/>
      <c r="K37" s="47"/>
      <c r="L37" s="47"/>
    </row>
    <row r="38" spans="1:12" ht="12.75">
      <c r="A38" s="62"/>
      <c r="B38" s="65"/>
      <c r="C38" s="65"/>
      <c r="D38" s="65"/>
      <c r="E38" s="47"/>
      <c r="F38" s="47"/>
      <c r="G38" s="47"/>
      <c r="H38" s="47"/>
      <c r="I38" s="47"/>
      <c r="J38" s="47"/>
      <c r="K38" s="47"/>
      <c r="L38" s="47"/>
    </row>
    <row r="39" spans="1:12" ht="12.75">
      <c r="A39" s="86" t="s">
        <v>98</v>
      </c>
      <c r="B39" s="59"/>
      <c r="C39" s="59"/>
      <c r="D39" s="59"/>
      <c r="E39" s="47"/>
      <c r="F39" s="47"/>
      <c r="G39" s="47"/>
      <c r="H39" s="47"/>
      <c r="I39" s="47"/>
      <c r="J39" s="47"/>
      <c r="K39" s="47"/>
      <c r="L39" s="47"/>
    </row>
    <row r="40" spans="1:12" ht="12.75">
      <c r="A40" s="62" t="s">
        <v>95</v>
      </c>
      <c r="B40" s="122">
        <v>0.4</v>
      </c>
      <c r="C40" s="122">
        <v>0.4</v>
      </c>
      <c r="D40" s="122">
        <v>0.4</v>
      </c>
      <c r="E40" s="47"/>
      <c r="F40" s="47"/>
      <c r="G40" s="47"/>
      <c r="H40" s="47"/>
      <c r="I40" s="47"/>
      <c r="J40" s="47"/>
      <c r="K40" s="47"/>
      <c r="L40" s="47"/>
    </row>
    <row r="41" spans="1:12" ht="12.75">
      <c r="A41" s="62" t="s">
        <v>96</v>
      </c>
      <c r="B41" s="122">
        <v>0.5</v>
      </c>
      <c r="C41" s="122">
        <v>0.5</v>
      </c>
      <c r="D41" s="122">
        <v>0.5</v>
      </c>
      <c r="E41" s="47"/>
      <c r="F41" s="47"/>
      <c r="G41" s="47"/>
      <c r="H41" s="47"/>
      <c r="I41" s="47"/>
      <c r="J41" s="47"/>
      <c r="K41" s="47"/>
      <c r="L41" s="47"/>
    </row>
    <row r="42" spans="1:12" ht="12.75">
      <c r="A42" s="63" t="s">
        <v>97</v>
      </c>
      <c r="B42" s="137">
        <v>0.3</v>
      </c>
      <c r="C42" s="137">
        <v>0.3</v>
      </c>
      <c r="D42" s="137">
        <v>0.3</v>
      </c>
      <c r="E42" s="47"/>
      <c r="F42" s="47"/>
      <c r="G42" s="47"/>
      <c r="H42" s="47"/>
      <c r="I42" s="47"/>
      <c r="J42" s="47"/>
      <c r="K42" s="47"/>
      <c r="L42" s="47"/>
    </row>
    <row r="45" ht="15.75">
      <c r="A45" s="6" t="s">
        <v>140</v>
      </c>
    </row>
    <row r="47" spans="1:4" ht="12.75">
      <c r="A47" s="42" t="s">
        <v>141</v>
      </c>
      <c r="B47" s="64" t="s">
        <v>8</v>
      </c>
      <c r="C47" s="61" t="s">
        <v>265</v>
      </c>
      <c r="D47" s="61" t="s">
        <v>9</v>
      </c>
    </row>
    <row r="48" spans="1:4" ht="12.75">
      <c r="A48" s="85" t="s">
        <v>31</v>
      </c>
      <c r="B48" s="84"/>
      <c r="C48" s="59"/>
      <c r="D48" s="59"/>
    </row>
    <row r="49" spans="1:4" ht="12.75">
      <c r="A49" s="86" t="s">
        <v>52</v>
      </c>
      <c r="B49" s="59"/>
      <c r="C49" s="59"/>
      <c r="D49" s="59"/>
    </row>
    <row r="50" spans="1:4" ht="12.75">
      <c r="A50" s="62" t="s">
        <v>34</v>
      </c>
      <c r="B50" s="149"/>
      <c r="C50" s="149"/>
      <c r="D50" s="149"/>
    </row>
    <row r="51" spans="1:4" ht="12.75">
      <c r="A51" s="62" t="s">
        <v>35</v>
      </c>
      <c r="B51" s="65">
        <v>300</v>
      </c>
      <c r="C51" s="65">
        <v>300</v>
      </c>
      <c r="D51" s="65">
        <v>300</v>
      </c>
    </row>
    <row r="52" spans="1:4" ht="12.75">
      <c r="A52" s="62" t="s">
        <v>33</v>
      </c>
      <c r="B52" s="65">
        <v>150</v>
      </c>
      <c r="C52" s="65">
        <v>150</v>
      </c>
      <c r="D52" s="65">
        <v>150</v>
      </c>
    </row>
    <row r="53" spans="1:4" ht="12.75">
      <c r="A53" s="86"/>
      <c r="B53" s="59"/>
      <c r="C53" s="59"/>
      <c r="D53" s="59"/>
    </row>
    <row r="54" spans="1:4" ht="12.75">
      <c r="A54" s="86" t="s">
        <v>56</v>
      </c>
      <c r="B54" s="59"/>
      <c r="C54" s="59"/>
      <c r="D54" s="59"/>
    </row>
    <row r="55" spans="1:4" ht="12.75">
      <c r="A55" s="62" t="s">
        <v>34</v>
      </c>
      <c r="B55" s="149"/>
      <c r="C55" s="149"/>
      <c r="D55" s="149"/>
    </row>
    <row r="56" spans="1:4" ht="12.75">
      <c r="A56" s="62" t="s">
        <v>35</v>
      </c>
      <c r="B56" s="65">
        <v>150</v>
      </c>
      <c r="C56" s="65">
        <v>150</v>
      </c>
      <c r="D56" s="65">
        <v>150</v>
      </c>
    </row>
    <row r="57" spans="1:4" ht="12.75">
      <c r="A57" s="62" t="s">
        <v>33</v>
      </c>
      <c r="B57" s="65">
        <v>75</v>
      </c>
      <c r="C57" s="65">
        <v>75</v>
      </c>
      <c r="D57" s="65">
        <v>75</v>
      </c>
    </row>
    <row r="58" spans="1:4" ht="12.75">
      <c r="A58" s="63"/>
      <c r="B58" s="60"/>
      <c r="C58" s="60"/>
      <c r="D58" s="60"/>
    </row>
    <row r="59" spans="1:4" ht="12.75">
      <c r="A59" s="86" t="s">
        <v>32</v>
      </c>
      <c r="B59" s="59"/>
      <c r="C59" s="59"/>
      <c r="D59" s="59"/>
    </row>
    <row r="60" spans="1:4" ht="12.75">
      <c r="A60" s="62" t="s">
        <v>95</v>
      </c>
      <c r="B60" s="122">
        <v>0.35</v>
      </c>
      <c r="C60" s="122">
        <v>0.35</v>
      </c>
      <c r="D60" s="122">
        <v>0.35</v>
      </c>
    </row>
    <row r="61" spans="1:4" ht="12.75">
      <c r="A61" s="62" t="s">
        <v>96</v>
      </c>
      <c r="B61" s="122">
        <v>0.45</v>
      </c>
      <c r="C61" s="122">
        <v>0.45</v>
      </c>
      <c r="D61" s="122">
        <v>0.45</v>
      </c>
    </row>
    <row r="62" spans="1:4" ht="12.75">
      <c r="A62" s="63" t="s">
        <v>97</v>
      </c>
      <c r="B62" s="137">
        <v>0.25</v>
      </c>
      <c r="C62" s="137">
        <v>0.25</v>
      </c>
      <c r="D62" s="137">
        <v>0.25</v>
      </c>
    </row>
    <row r="66" ht="15.75">
      <c r="A66" s="6" t="s">
        <v>104</v>
      </c>
    </row>
    <row r="68" spans="1:4" ht="12.75">
      <c r="A68" s="136" t="s">
        <v>36</v>
      </c>
      <c r="B68" s="61" t="s">
        <v>8</v>
      </c>
      <c r="C68" s="61" t="s">
        <v>265</v>
      </c>
      <c r="D68" s="61" t="s">
        <v>9</v>
      </c>
    </row>
    <row r="69" spans="1:4" ht="12.75">
      <c r="A69" s="188" t="s">
        <v>194</v>
      </c>
      <c r="B69" s="189"/>
      <c r="C69" s="189"/>
      <c r="D69" s="189"/>
    </row>
    <row r="70" spans="1:4" ht="12.75">
      <c r="A70" s="63" t="s">
        <v>250</v>
      </c>
      <c r="B70" s="104">
        <v>20</v>
      </c>
      <c r="C70" s="104">
        <v>20</v>
      </c>
      <c r="D70" s="104">
        <v>20</v>
      </c>
    </row>
    <row r="71" ht="12.75">
      <c r="A71" s="5" t="s">
        <v>251</v>
      </c>
    </row>
  </sheetData>
  <printOptions/>
  <pageMargins left="0.75" right="0.75" top="1" bottom="1" header="0.5" footer="0.5"/>
  <pageSetup horizontalDpi="300" verticalDpi="300" orientation="landscape" scale="80" r:id="rId1"/>
  <rowBreaks count="1" manualBreakCount="1">
    <brk id="44" max="255" man="1"/>
  </rowBreaks>
</worksheet>
</file>

<file path=xl/worksheets/sheet6.xml><?xml version="1.0" encoding="utf-8"?>
<worksheet xmlns="http://schemas.openxmlformats.org/spreadsheetml/2006/main" xmlns:r="http://schemas.openxmlformats.org/officeDocument/2006/relationships">
  <sheetPr>
    <tabColor indexed="43"/>
  </sheetPr>
  <dimension ref="A1:H133"/>
  <sheetViews>
    <sheetView workbookViewId="0" topLeftCell="A4">
      <selection activeCell="E24" sqref="E24"/>
    </sheetView>
  </sheetViews>
  <sheetFormatPr defaultColWidth="9.140625" defaultRowHeight="12.75"/>
  <cols>
    <col min="1" max="1" width="30.7109375" style="176" customWidth="1"/>
    <col min="2" max="4" width="12.7109375" style="0" customWidth="1"/>
    <col min="5" max="5" width="6.7109375" style="0" customWidth="1"/>
    <col min="6" max="11" width="12.7109375" style="0" customWidth="1"/>
  </cols>
  <sheetData>
    <row r="1" ht="15.75">
      <c r="A1" s="6" t="s">
        <v>317</v>
      </c>
    </row>
    <row r="2" ht="15.75">
      <c r="A2" s="248" t="s">
        <v>127</v>
      </c>
    </row>
    <row r="3" ht="15.75">
      <c r="A3" s="248" t="s">
        <v>291</v>
      </c>
    </row>
    <row r="4" ht="12.75">
      <c r="A4" s="4"/>
    </row>
    <row r="5" ht="15.75">
      <c r="A5" s="249" t="s">
        <v>70</v>
      </c>
    </row>
    <row r="6" spans="1:6" ht="15.75">
      <c r="A6" s="248" t="s">
        <v>0</v>
      </c>
      <c r="B6" s="3" t="s">
        <v>255</v>
      </c>
      <c r="F6" s="3" t="s">
        <v>254</v>
      </c>
    </row>
    <row r="7" spans="1:8" ht="12.75">
      <c r="A7" s="250"/>
      <c r="B7" s="73" t="s">
        <v>8</v>
      </c>
      <c r="C7" s="73" t="s">
        <v>265</v>
      </c>
      <c r="D7" s="73" t="s">
        <v>9</v>
      </c>
      <c r="F7" s="73" t="s">
        <v>8</v>
      </c>
      <c r="G7" s="73" t="s">
        <v>265</v>
      </c>
      <c r="H7" s="73" t="s">
        <v>9</v>
      </c>
    </row>
    <row r="8" spans="1:8" ht="12.75">
      <c r="A8" s="251" t="s">
        <v>325</v>
      </c>
      <c r="B8" s="69">
        <f>'Service Assumptions'!B71</f>
        <v>317</v>
      </c>
      <c r="C8" s="69">
        <f>'Service Assumptions'!C71</f>
        <v>317</v>
      </c>
      <c r="D8" s="69">
        <f>'Service Assumptions'!D71</f>
        <v>317</v>
      </c>
      <c r="F8" s="69">
        <f>'Service Assumptions'!B71</f>
        <v>317</v>
      </c>
      <c r="G8" s="69">
        <f>'Service Assumptions'!C71</f>
        <v>317</v>
      </c>
      <c r="H8" s="69">
        <f>'Service Assumptions'!D71</f>
        <v>317</v>
      </c>
    </row>
    <row r="9" spans="1:8" ht="12.75">
      <c r="A9" s="252" t="s">
        <v>53</v>
      </c>
      <c r="B9" s="80">
        <f>'Service Assumptions'!B72/'Service Assumptions'!B71</f>
        <v>0.3785488958990536</v>
      </c>
      <c r="C9" s="80">
        <f>'Service Assumptions'!C72/'Service Assumptions'!C71</f>
        <v>0.3785488958990536</v>
      </c>
      <c r="D9" s="80">
        <f>'Service Assumptions'!D72/'Service Assumptions'!D71</f>
        <v>0.3785488958990536</v>
      </c>
      <c r="F9" s="80">
        <f>'Service Assumptions'!B72/'Service Assumptions'!B71</f>
        <v>0.3785488958990536</v>
      </c>
      <c r="G9" s="80">
        <f>'Service Assumptions'!C72/'Service Assumptions'!C71</f>
        <v>0.3785488958990536</v>
      </c>
      <c r="H9" s="80">
        <f>'Service Assumptions'!D72/'Service Assumptions'!D71</f>
        <v>0.3785488958990536</v>
      </c>
    </row>
    <row r="10" spans="1:8" ht="12.75">
      <c r="A10" s="252" t="s">
        <v>54</v>
      </c>
      <c r="B10" s="80">
        <f>'Service Assumptions'!B73/'Service Assumptions'!B71</f>
        <v>0.416403785488959</v>
      </c>
      <c r="C10" s="80">
        <f>'Service Assumptions'!C73/'Service Assumptions'!C71</f>
        <v>0.416403785488959</v>
      </c>
      <c r="D10" s="80">
        <f>'Service Assumptions'!D73/'Service Assumptions'!D71</f>
        <v>0.416403785488959</v>
      </c>
      <c r="F10" s="80">
        <f>'Service Assumptions'!B73/'Service Assumptions'!B71</f>
        <v>0.416403785488959</v>
      </c>
      <c r="G10" s="80">
        <f>'Service Assumptions'!C73/'Service Assumptions'!C71</f>
        <v>0.416403785488959</v>
      </c>
      <c r="H10" s="80">
        <f>'Service Assumptions'!D73/'Service Assumptions'!D71</f>
        <v>0.416403785488959</v>
      </c>
    </row>
    <row r="11" spans="1:8" ht="12.75">
      <c r="A11" s="252" t="s">
        <v>55</v>
      </c>
      <c r="B11" s="80">
        <f>'Service Assumptions'!B74/'Service Assumptions'!B71</f>
        <v>0.20504731861198738</v>
      </c>
      <c r="C11" s="80">
        <f>'Service Assumptions'!C74/'Service Assumptions'!C71</f>
        <v>0.20504731861198738</v>
      </c>
      <c r="D11" s="80">
        <f>'Service Assumptions'!D74/'Service Assumptions'!D71</f>
        <v>0.20504731861198738</v>
      </c>
      <c r="F11" s="80">
        <f>'Service Assumptions'!B74/'Service Assumptions'!B71</f>
        <v>0.20504731861198738</v>
      </c>
      <c r="G11" s="80">
        <f>'Service Assumptions'!C74/'Service Assumptions'!C71</f>
        <v>0.20504731861198738</v>
      </c>
      <c r="H11" s="80">
        <f>'Service Assumptions'!D74/'Service Assumptions'!D71</f>
        <v>0.20504731861198738</v>
      </c>
    </row>
    <row r="12" spans="1:8" ht="12.75">
      <c r="A12" s="253"/>
      <c r="B12" s="68"/>
      <c r="C12" s="68"/>
      <c r="D12" s="68"/>
      <c r="F12" s="68"/>
      <c r="G12" s="68"/>
      <c r="H12" s="68"/>
    </row>
    <row r="13" spans="1:8" ht="12.75">
      <c r="A13" s="251" t="s">
        <v>47</v>
      </c>
      <c r="B13" s="76"/>
      <c r="C13" s="76"/>
      <c r="D13" s="76"/>
      <c r="F13" s="76"/>
      <c r="G13" s="76"/>
      <c r="H13" s="76"/>
    </row>
    <row r="14" spans="1:8" ht="12.75">
      <c r="A14" s="252" t="s">
        <v>118</v>
      </c>
      <c r="B14" s="69">
        <f>'Service Assumptions'!D13*5*2</f>
        <v>10</v>
      </c>
      <c r="C14" s="69">
        <f>'Service Assumptions'!E13*5*2</f>
        <v>10</v>
      </c>
      <c r="D14" s="69">
        <f>'Service Assumptions'!F13*5*2</f>
        <v>20</v>
      </c>
      <c r="F14" s="69">
        <f>'Service Assumptions'!D13*5*2</f>
        <v>10</v>
      </c>
      <c r="G14" s="69">
        <f>'Service Assumptions'!E13*5*2</f>
        <v>10</v>
      </c>
      <c r="H14" s="69">
        <f>'Service Assumptions'!F13*5*2</f>
        <v>20</v>
      </c>
    </row>
    <row r="15" spans="1:8" ht="12.75">
      <c r="A15" s="252" t="s">
        <v>117</v>
      </c>
      <c r="B15" s="69">
        <f>'Service Assumptions'!D14*13*2</f>
        <v>26</v>
      </c>
      <c r="C15" s="69">
        <f>'Service Assumptions'!E14*13*2</f>
        <v>52</v>
      </c>
      <c r="D15" s="69">
        <f>'Service Assumptions'!F14*13*2</f>
        <v>52</v>
      </c>
      <c r="F15" s="69">
        <f>'Service Assumptions'!D14*13*2</f>
        <v>26</v>
      </c>
      <c r="G15" s="69">
        <f>'Service Assumptions'!E14*13*2</f>
        <v>52</v>
      </c>
      <c r="H15" s="69">
        <f>'Service Assumptions'!F14*13*2</f>
        <v>52</v>
      </c>
    </row>
    <row r="16" spans="1:8" ht="12.75">
      <c r="A16" s="252" t="s">
        <v>48</v>
      </c>
      <c r="B16" s="69">
        <f>SUM(B14:B15)</f>
        <v>36</v>
      </c>
      <c r="C16" s="69">
        <f>SUM(C14:C15)</f>
        <v>62</v>
      </c>
      <c r="D16" s="69">
        <f>SUM(D14:D15)</f>
        <v>72</v>
      </c>
      <c r="F16" s="69">
        <f>SUM(F14:F15)</f>
        <v>36</v>
      </c>
      <c r="G16" s="69">
        <f>SUM(G14:G15)</f>
        <v>62</v>
      </c>
      <c r="H16" s="69">
        <f>SUM(H14:H15)</f>
        <v>72</v>
      </c>
    </row>
    <row r="17" spans="1:8" ht="12.75">
      <c r="A17" s="253"/>
      <c r="B17" s="66"/>
      <c r="C17" s="66"/>
      <c r="D17" s="66"/>
      <c r="F17" s="66"/>
      <c r="G17" s="66"/>
      <c r="H17" s="66"/>
    </row>
    <row r="18" spans="1:8" ht="12.75">
      <c r="A18" s="251" t="s">
        <v>325</v>
      </c>
      <c r="B18" s="78"/>
      <c r="C18" s="78"/>
      <c r="D18" s="78"/>
      <c r="F18" s="78"/>
      <c r="G18" s="78"/>
      <c r="H18" s="78"/>
    </row>
    <row r="19" spans="1:8" ht="12.75">
      <c r="A19" s="252" t="s">
        <v>41</v>
      </c>
      <c r="B19" s="70">
        <f>B14*B8</f>
        <v>3170</v>
      </c>
      <c r="C19" s="70">
        <f>C14*C8</f>
        <v>3170</v>
      </c>
      <c r="D19" s="70">
        <f>D14*D8</f>
        <v>6340</v>
      </c>
      <c r="F19" s="70">
        <f>F14*F8</f>
        <v>3170</v>
      </c>
      <c r="G19" s="70">
        <f>G14*G8</f>
        <v>3170</v>
      </c>
      <c r="H19" s="70">
        <f>H14*H8</f>
        <v>6340</v>
      </c>
    </row>
    <row r="20" spans="1:8" ht="12.75">
      <c r="A20" s="252" t="s">
        <v>42</v>
      </c>
      <c r="B20" s="70">
        <f>B15*B8</f>
        <v>8242</v>
      </c>
      <c r="C20" s="70">
        <f>C15*C8</f>
        <v>16484</v>
      </c>
      <c r="D20" s="70">
        <f>D15*D8</f>
        <v>16484</v>
      </c>
      <c r="F20" s="70">
        <f>F15*F8</f>
        <v>8242</v>
      </c>
      <c r="G20" s="70">
        <f>G15*G8</f>
        <v>16484</v>
      </c>
      <c r="H20" s="70">
        <f>H15*H8</f>
        <v>16484</v>
      </c>
    </row>
    <row r="21" spans="1:8" ht="12.75">
      <c r="A21" s="252" t="s">
        <v>45</v>
      </c>
      <c r="B21" s="70">
        <f>SUM(B19:B20)</f>
        <v>11412</v>
      </c>
      <c r="C21" s="70">
        <f>SUM(C19:C20)</f>
        <v>19654</v>
      </c>
      <c r="D21" s="70">
        <f>SUM(D19:D20)</f>
        <v>22824</v>
      </c>
      <c r="F21" s="70">
        <f>SUM(F19:F20)</f>
        <v>11412</v>
      </c>
      <c r="G21" s="70">
        <f>SUM(G19:G20)</f>
        <v>19654</v>
      </c>
      <c r="H21" s="70">
        <f>SUM(H19:H20)</f>
        <v>22824</v>
      </c>
    </row>
    <row r="22" spans="1:8" ht="12.75">
      <c r="A22" s="252"/>
      <c r="B22" s="47"/>
      <c r="C22" s="47"/>
      <c r="D22" s="47"/>
      <c r="F22" s="47"/>
      <c r="G22" s="47"/>
      <c r="H22" s="47"/>
    </row>
    <row r="23" spans="1:8" ht="12.75">
      <c r="A23" s="254" t="s">
        <v>44</v>
      </c>
      <c r="B23" s="78"/>
      <c r="C23" s="78"/>
      <c r="D23" s="78"/>
      <c r="F23" s="78"/>
      <c r="G23" s="78"/>
      <c r="H23" s="78"/>
    </row>
    <row r="24" spans="1:8" ht="12.75">
      <c r="A24" s="252" t="s">
        <v>41</v>
      </c>
      <c r="B24" s="71">
        <v>0.7</v>
      </c>
      <c r="C24" s="71">
        <v>0.8</v>
      </c>
      <c r="D24" s="71">
        <v>0.9</v>
      </c>
      <c r="F24" s="71">
        <v>0.8</v>
      </c>
      <c r="G24" s="71">
        <v>0.85</v>
      </c>
      <c r="H24" s="71">
        <v>0.9</v>
      </c>
    </row>
    <row r="25" spans="1:8" ht="12.75">
      <c r="A25" s="252" t="s">
        <v>42</v>
      </c>
      <c r="B25" s="71">
        <v>0.85</v>
      </c>
      <c r="C25" s="71">
        <v>0.9</v>
      </c>
      <c r="D25" s="71">
        <v>0.95</v>
      </c>
      <c r="F25" s="71">
        <v>0.95</v>
      </c>
      <c r="G25" s="71">
        <v>0.95</v>
      </c>
      <c r="H25" s="71">
        <v>0.95</v>
      </c>
    </row>
    <row r="26" spans="1:8" ht="12.75">
      <c r="A26" s="252"/>
      <c r="B26" s="83"/>
      <c r="C26" s="83"/>
      <c r="D26" s="83"/>
      <c r="E26" s="97"/>
      <c r="F26" s="83"/>
      <c r="G26" s="83"/>
      <c r="H26" s="83"/>
    </row>
    <row r="27" spans="1:8" ht="12.75">
      <c r="A27" s="254" t="s">
        <v>62</v>
      </c>
      <c r="B27" s="83"/>
      <c r="C27" s="83"/>
      <c r="D27" s="83"/>
      <c r="F27" s="83"/>
      <c r="G27" s="83"/>
      <c r="H27" s="83"/>
    </row>
    <row r="28" spans="1:8" ht="12.75">
      <c r="A28" s="252" t="s">
        <v>52</v>
      </c>
      <c r="B28" s="71">
        <v>0.9</v>
      </c>
      <c r="C28" s="71">
        <v>0.9</v>
      </c>
      <c r="D28" s="71">
        <v>0.9</v>
      </c>
      <c r="F28" s="71">
        <v>0.9</v>
      </c>
      <c r="G28" s="71">
        <v>0.9</v>
      </c>
      <c r="H28" s="71">
        <v>0.9</v>
      </c>
    </row>
    <row r="29" spans="1:8" ht="12.75">
      <c r="A29" s="252" t="s">
        <v>61</v>
      </c>
      <c r="B29" s="71">
        <v>0.1</v>
      </c>
      <c r="C29" s="71">
        <v>0.1</v>
      </c>
      <c r="D29" s="71">
        <v>0.1</v>
      </c>
      <c r="F29" s="71">
        <v>0.1</v>
      </c>
      <c r="G29" s="71">
        <v>0.1</v>
      </c>
      <c r="H29" s="71">
        <v>0.1</v>
      </c>
    </row>
    <row r="30" spans="1:8" ht="12.75">
      <c r="A30" s="252"/>
      <c r="B30" s="47"/>
      <c r="C30" s="47"/>
      <c r="D30" s="47"/>
      <c r="F30" s="47"/>
      <c r="G30" s="47"/>
      <c r="H30" s="47"/>
    </row>
    <row r="31" spans="1:8" ht="12.75">
      <c r="A31" s="254" t="s">
        <v>49</v>
      </c>
      <c r="B31" s="78"/>
      <c r="C31" s="78"/>
      <c r="D31" s="78"/>
      <c r="F31" s="78"/>
      <c r="G31" s="78"/>
      <c r="H31" s="78"/>
    </row>
    <row r="32" spans="1:8" ht="12.75">
      <c r="A32" s="252" t="s">
        <v>41</v>
      </c>
      <c r="B32" s="70">
        <f>B24*B19</f>
        <v>2219</v>
      </c>
      <c r="C32" s="70">
        <f>C24*C19</f>
        <v>2536</v>
      </c>
      <c r="D32" s="70">
        <f>D24*D19</f>
        <v>5706</v>
      </c>
      <c r="F32" s="70">
        <f>F24*F19</f>
        <v>2536</v>
      </c>
      <c r="G32" s="70">
        <f>G24*G19</f>
        <v>2694.5</v>
      </c>
      <c r="H32" s="70">
        <f>H24*H19</f>
        <v>5706</v>
      </c>
    </row>
    <row r="33" spans="1:8" ht="12.75">
      <c r="A33" s="252" t="s">
        <v>42</v>
      </c>
      <c r="B33" s="70">
        <f>B20*B25</f>
        <v>7005.7</v>
      </c>
      <c r="C33" s="70">
        <f>C20*C25</f>
        <v>14835.6</v>
      </c>
      <c r="D33" s="70">
        <f>D20*D25</f>
        <v>15659.8</v>
      </c>
      <c r="F33" s="70">
        <f>F20*F25</f>
        <v>7829.9</v>
      </c>
      <c r="G33" s="70">
        <f>G20*G25</f>
        <v>15659.8</v>
      </c>
      <c r="H33" s="70">
        <f>H20*H25</f>
        <v>15659.8</v>
      </c>
    </row>
    <row r="34" spans="1:8" ht="12.75">
      <c r="A34" s="252" t="s">
        <v>50</v>
      </c>
      <c r="B34" s="70">
        <f>SUM(B32:B33)</f>
        <v>9224.7</v>
      </c>
      <c r="C34" s="70">
        <f>SUM(C32:C33)</f>
        <v>17371.6</v>
      </c>
      <c r="D34" s="70">
        <f>SUM(D32:D33)</f>
        <v>21365.8</v>
      </c>
      <c r="F34" s="70">
        <f>SUM(F32:F33)</f>
        <v>10365.9</v>
      </c>
      <c r="G34" s="70">
        <f>SUM(G32:G33)</f>
        <v>18354.3</v>
      </c>
      <c r="H34" s="70">
        <f>SUM(H32:H33)</f>
        <v>21365.8</v>
      </c>
    </row>
    <row r="35" spans="1:8" ht="12.75">
      <c r="A35" s="252"/>
      <c r="B35" s="87"/>
      <c r="C35" s="87"/>
      <c r="D35" s="87"/>
      <c r="F35" s="87"/>
      <c r="G35" s="87"/>
      <c r="H35" s="87"/>
    </row>
    <row r="36" spans="1:8" ht="12.75">
      <c r="A36" s="255" t="s">
        <v>63</v>
      </c>
      <c r="B36" s="90">
        <f>'Service Assumptions'!B61</f>
        <v>2.410778803693296</v>
      </c>
      <c r="C36" s="90">
        <f>'Service Assumptions'!B61</f>
        <v>2.410778803693296</v>
      </c>
      <c r="D36" s="90">
        <f>'Service Assumptions'!B61</f>
        <v>2.410778803693296</v>
      </c>
      <c r="F36" s="90">
        <f>'Service Assumptions'!B59</f>
        <v>1.8274454703599625</v>
      </c>
      <c r="G36" s="90">
        <f>'Service Assumptions'!B59</f>
        <v>1.8274454703599625</v>
      </c>
      <c r="H36" s="90">
        <f>'Service Assumptions'!B59</f>
        <v>1.8274454703599625</v>
      </c>
    </row>
    <row r="37" spans="1:4" ht="12.75">
      <c r="A37" s="252"/>
      <c r="B37" s="87"/>
      <c r="C37" s="87"/>
      <c r="D37" s="87"/>
    </row>
    <row r="38" spans="1:5" ht="15.75">
      <c r="A38" s="256" t="s">
        <v>64</v>
      </c>
      <c r="B38" s="47"/>
      <c r="C38" s="47"/>
      <c r="D38" s="47"/>
      <c r="E38" s="47"/>
    </row>
    <row r="39" spans="1:5" ht="12.75">
      <c r="A39" s="257" t="s">
        <v>168</v>
      </c>
      <c r="B39" s="47"/>
      <c r="C39" s="47"/>
      <c r="D39" s="47"/>
      <c r="E39" s="47"/>
    </row>
    <row r="40" spans="1:5" ht="12.75">
      <c r="A40" s="258" t="s">
        <v>59</v>
      </c>
      <c r="B40" s="47"/>
      <c r="C40" s="47"/>
      <c r="D40" s="47"/>
      <c r="E40" s="47"/>
    </row>
    <row r="41" spans="1:8" ht="12.75">
      <c r="A41" s="126" t="s">
        <v>53</v>
      </c>
      <c r="B41" s="79">
        <f>B8*B9*B14*B24*B28*B36*Tariff!B12</f>
        <v>1230220.423524689</v>
      </c>
      <c r="C41" s="79">
        <f>C8*C9*C14*C24*C28*C36*Tariff!C12</f>
        <v>1405966.1983139303</v>
      </c>
      <c r="D41" s="79">
        <f>D8*D9*D14*D24*D28*D36*Tariff!D12</f>
        <v>3163423.946206343</v>
      </c>
      <c r="E41" s="47"/>
      <c r="F41" s="94">
        <f>F8*F9*F14*F24*F28*F36*Tariff!B12</f>
        <v>1065766.19831393</v>
      </c>
      <c r="G41" s="94">
        <f>G8*G9*G14*G24*G28*G36*Tariff!C12</f>
        <v>1132376.5857085506</v>
      </c>
      <c r="H41" s="94">
        <f>H8*H9*H14*H24*H28*H36*Tariff!D12</f>
        <v>2397973.946206343</v>
      </c>
    </row>
    <row r="42" spans="1:8" ht="12.75">
      <c r="A42" s="126" t="s">
        <v>54</v>
      </c>
      <c r="B42" s="82">
        <f>B8*B10*B14*B24*B28*B36*Tariff!B13</f>
        <v>902161.643918105</v>
      </c>
      <c r="C42" s="82">
        <f>C8*C9*C14*C24*C28*C36*Tariff!C13</f>
        <v>937310.7988759535</v>
      </c>
      <c r="D42" s="82">
        <f>D8*D10*D14*D24*D28*D36*Tariff!D13</f>
        <v>2319844.227217985</v>
      </c>
      <c r="E42" s="47"/>
      <c r="F42" s="94">
        <f>F8*F10*F14*F24*F28*F36*Tariff!B13</f>
        <v>781561.8787635488</v>
      </c>
      <c r="G42" s="94">
        <f>G8*G10*G14*G24*G28*G36*Tariff!C13</f>
        <v>830409.4961862706</v>
      </c>
      <c r="H42" s="94">
        <f>H8*H10*H14*H24*H28*H36*Tariff!D13</f>
        <v>1758514.2272179849</v>
      </c>
    </row>
    <row r="43" spans="1:8" ht="12.75">
      <c r="A43" s="126" t="s">
        <v>55</v>
      </c>
      <c r="B43" s="79">
        <f>B8*B11*B14*B24*B28*B36*Tariff!B14</f>
        <v>172762.4360196708</v>
      </c>
      <c r="C43" s="79">
        <f>C8*C11*C14*C24*C28*C36*Tariff!C14</f>
        <v>197442.78402248095</v>
      </c>
      <c r="D43" s="79">
        <f>D8*D11*D14*D24*D28*D36*Tariff!D14</f>
        <v>444246.2640505821</v>
      </c>
      <c r="E43" s="47"/>
      <c r="F43" s="94">
        <f>F8*F11*F14*F24*F28*F36*Tariff!B14</f>
        <v>149667.78402248092</v>
      </c>
      <c r="G43" s="94">
        <f>G8*G11*G14*G24*G28*G36*Tariff!C14</f>
        <v>159022.020523886</v>
      </c>
      <c r="H43" s="94">
        <f>H8*H11*H14*H24*H28*H36*Tariff!D14</f>
        <v>336752.5140505821</v>
      </c>
    </row>
    <row r="44" spans="1:8" ht="12.75">
      <c r="A44" s="259" t="s">
        <v>60</v>
      </c>
      <c r="B44" s="47"/>
      <c r="C44" s="47"/>
      <c r="D44" s="47"/>
      <c r="E44" s="47"/>
      <c r="F44" s="93"/>
      <c r="G44" s="93"/>
      <c r="H44" s="93"/>
    </row>
    <row r="45" spans="1:8" ht="12.75">
      <c r="A45" s="126" t="s">
        <v>53</v>
      </c>
      <c r="B45" s="79">
        <f>B8*B9*B14*B24*B29*B36*Tariff!B17</f>
        <v>96190.0742673625</v>
      </c>
      <c r="C45" s="81">
        <f>C8*C9*C14*C24*C29*C36*Tariff!C17</f>
        <v>109931.5134484143</v>
      </c>
      <c r="D45" s="79">
        <f>D8*D9*D14*D24*D29*D36*Tariff!D17</f>
        <v>247345.90525893218</v>
      </c>
      <c r="E45" s="47"/>
      <c r="F45" s="94">
        <f>F8*F9*F14*F24*F29*F36*Tariff!B17</f>
        <v>83331.51344841429</v>
      </c>
      <c r="G45" s="94">
        <f>G8*G9*G14*G24*G29*G36*Tariff!C17</f>
        <v>88539.73303894018</v>
      </c>
      <c r="H45" s="94">
        <f>H8*H9*H14*H24*H29*H36*Tariff!D17</f>
        <v>187495.90525893215</v>
      </c>
    </row>
    <row r="46" spans="1:8" ht="12.75">
      <c r="A46" s="126" t="s">
        <v>54</v>
      </c>
      <c r="B46" s="79">
        <f>B8*B10*B14*B24*B29*B36*Tariff!B18</f>
        <v>70168.12786029707</v>
      </c>
      <c r="C46" s="81">
        <f>C8*C10*C14*C24*C29*C36*Tariff!C18</f>
        <v>80192.1461260538</v>
      </c>
      <c r="D46" s="79">
        <f>D8*D10*D14*D24*D29*D36*Tariff!D18</f>
        <v>180432.32878362105</v>
      </c>
      <c r="E46" s="47"/>
      <c r="F46" s="94">
        <f>F8*F11*F14*F24*F29*F36*Tariff!B18</f>
        <v>29933.556804496184</v>
      </c>
      <c r="G46" s="94">
        <f>G8*G11*G14*G24*G29*G36*Tariff!C18</f>
        <v>31804.404104777197</v>
      </c>
      <c r="H46" s="94">
        <f>H8*H11*H14*H24*H29*H36*Tariff!D18</f>
        <v>67350.50281011642</v>
      </c>
    </row>
    <row r="47" spans="1:8" ht="12.75">
      <c r="A47" s="126" t="s">
        <v>55</v>
      </c>
      <c r="B47" s="79">
        <f>B8*B11*B14*B24*B29*B36*Tariff!B19</f>
        <v>13711.30444600562</v>
      </c>
      <c r="C47" s="81">
        <f>C8*C11*C14*C24*C29*C36*Tariff!C19</f>
        <v>15670.062224006424</v>
      </c>
      <c r="D47" s="79">
        <f>D8*D11*D14*D24*D29*D36*Tariff!D19</f>
        <v>35257.64000401446</v>
      </c>
      <c r="E47" s="47"/>
      <c r="F47" s="94">
        <f>F8*F11*F14*F24*F29*F36*Tariff!B19</f>
        <v>11878.395557339756</v>
      </c>
      <c r="G47" s="94">
        <f>G8*G11*G14*G24*G29*G36*Tariff!C19</f>
        <v>12620.795279673492</v>
      </c>
      <c r="H47" s="94">
        <f>H8*H11*H14*H24*H29*H36*Tariff!D19</f>
        <v>26726.39000401445</v>
      </c>
    </row>
    <row r="48" spans="1:8" ht="12.75">
      <c r="A48" s="260" t="s">
        <v>66</v>
      </c>
      <c r="B48" s="198">
        <f>SUM(B41:B47)</f>
        <v>2485214.01003613</v>
      </c>
      <c r="C48" s="198">
        <f>SUM(C41:C47)</f>
        <v>2746513.5030108397</v>
      </c>
      <c r="D48" s="198">
        <f>SUM(D41:D47)</f>
        <v>6390550.311521478</v>
      </c>
      <c r="E48" s="106"/>
      <c r="F48" s="198">
        <f>SUM(F41:F47)</f>
        <v>2122139.3269102103</v>
      </c>
      <c r="G48" s="198">
        <f>SUM(G41:G47)</f>
        <v>2254773.0348420977</v>
      </c>
      <c r="H48" s="198">
        <f>SUM(H41:H47)</f>
        <v>4774813.485547974</v>
      </c>
    </row>
    <row r="49" spans="1:8" ht="12.75">
      <c r="A49" s="258"/>
      <c r="B49" s="47"/>
      <c r="C49" s="47"/>
      <c r="D49" s="47"/>
      <c r="E49" s="47"/>
      <c r="F49" s="93"/>
      <c r="G49" s="93"/>
      <c r="H49" s="93"/>
    </row>
    <row r="50" spans="1:8" ht="12.75">
      <c r="A50" s="257" t="s">
        <v>169</v>
      </c>
      <c r="B50" s="47"/>
      <c r="C50" s="47"/>
      <c r="D50" s="47"/>
      <c r="E50" s="47"/>
      <c r="F50" s="93"/>
      <c r="G50" s="93"/>
      <c r="H50" s="93"/>
    </row>
    <row r="51" spans="1:8" ht="12.75">
      <c r="A51" s="258" t="s">
        <v>52</v>
      </c>
      <c r="B51" s="47"/>
      <c r="C51" s="47"/>
      <c r="D51" s="47"/>
      <c r="E51" s="47"/>
      <c r="F51" s="93"/>
      <c r="G51" s="93"/>
      <c r="H51" s="93"/>
    </row>
    <row r="52" spans="1:8" ht="12.75">
      <c r="A52" s="126" t="s">
        <v>53</v>
      </c>
      <c r="B52" s="79">
        <f>B8*B9*B15*B25*B28*B36*Tariff!B30</f>
        <v>4315535.136491369</v>
      </c>
      <c r="C52" s="79">
        <f>C8*C9*C15*C25*C28*C36*Tariff!C30</f>
        <v>9138780.289040547</v>
      </c>
      <c r="D52" s="79">
        <f>D8*D9*D15*D25*D28*D36*Tariff!D30</f>
        <v>9646490.305098355</v>
      </c>
      <c r="E52" s="47"/>
      <c r="F52" s="94">
        <f>F8*F9*F15*F25*F28*F36*Tariff!B30</f>
        <v>3656170.1525491765</v>
      </c>
      <c r="G52" s="94">
        <f>G8*G9*G15*G25*G28*G36*Tariff!C30</f>
        <v>7312340.305098353</v>
      </c>
      <c r="H52" s="94">
        <f>H8*H9*H15*H25*H28*H36*Tariff!D30</f>
        <v>7312340.305098353</v>
      </c>
    </row>
    <row r="53" spans="1:8" ht="12.75">
      <c r="A53" s="126" t="s">
        <v>54</v>
      </c>
      <c r="B53" s="79">
        <f>B8*B10*B15*B25*B28*B36*Tariff!B31</f>
        <v>3164725.7667603376</v>
      </c>
      <c r="C53" s="79">
        <f>C8*C10*C15*C25*C28*C36*Tariff!C31</f>
        <v>6701772.211963068</v>
      </c>
      <c r="D53" s="79">
        <f>D8*D10*D15*D25*D28*D36*Tariff!D31</f>
        <v>7074092.890405459</v>
      </c>
      <c r="E53" s="47"/>
      <c r="F53" s="94">
        <f>F8*F10*F15*F25*F29*F36*Tariff!B31</f>
        <v>297910.16057808104</v>
      </c>
      <c r="G53" s="94">
        <f>G8*G10*G15*G25*G29*G36*Tariff!C31</f>
        <v>595820.3211561621</v>
      </c>
      <c r="H53" s="94">
        <f>H8*H10*H15*H25*H29*H36*Tariff!D31</f>
        <v>595820.3211561621</v>
      </c>
    </row>
    <row r="54" spans="1:8" ht="12.75">
      <c r="A54" s="126" t="s">
        <v>55</v>
      </c>
      <c r="B54" s="79">
        <f>B8*B11*B15*B25*B28*B36*Tariff!B32</f>
        <v>623355.0752709756</v>
      </c>
      <c r="C54" s="79">
        <f>C8*C11*C15*C25*C28*C36*Tariff!C32</f>
        <v>1320046.0417503014</v>
      </c>
      <c r="D54" s="79">
        <f>D8*D11*D15*D25*D28*D36*Tariff!D32</f>
        <v>1393381.9329586513</v>
      </c>
      <c r="E54" s="47"/>
      <c r="F54" s="94">
        <f>F8*F11*F15*F25*F28*F36*Tariff!B32</f>
        <v>528113.4664793256</v>
      </c>
      <c r="G54" s="94">
        <f>G8*G11*G15*G25*G28*G36*Tariff!C32</f>
        <v>1056226.932958651</v>
      </c>
      <c r="H54" s="94">
        <f>H8*H11*H15*H25*H28*H36*Tariff!D32</f>
        <v>1056226.932958651</v>
      </c>
    </row>
    <row r="55" spans="1:8" ht="12.75">
      <c r="A55" s="258"/>
      <c r="B55" s="47"/>
      <c r="C55" s="47"/>
      <c r="D55" s="47"/>
      <c r="E55" s="47"/>
      <c r="F55" s="93"/>
      <c r="G55" s="93"/>
      <c r="H55" s="93"/>
    </row>
    <row r="56" spans="1:8" ht="12.75">
      <c r="A56" s="259" t="s">
        <v>56</v>
      </c>
      <c r="B56" s="47"/>
      <c r="C56" s="47"/>
      <c r="D56" s="47"/>
      <c r="E56" s="47"/>
      <c r="F56" s="93"/>
      <c r="G56" s="93"/>
      <c r="H56" s="93"/>
    </row>
    <row r="57" spans="1:8" ht="12.75">
      <c r="A57" s="126" t="s">
        <v>53</v>
      </c>
      <c r="B57" s="79">
        <f>B8*B9*B15*B25*B29*B36*Tariff!B35</f>
        <v>335652.7328382176</v>
      </c>
      <c r="C57" s="79">
        <f>C8*C9*C15*C25*C29*C36*Tariff!C35</f>
        <v>710794.0224809314</v>
      </c>
      <c r="D57" s="79">
        <f>D8*D9*D15*D25*D29*D36*Tariff!D35</f>
        <v>750282.5792854277</v>
      </c>
      <c r="E57" s="47"/>
      <c r="F57" s="94">
        <f>F8*F9*F15*F25*F29*F36*Tariff!B35</f>
        <v>284368.7896427138</v>
      </c>
      <c r="G57" s="94">
        <f>G8*G9*G15*G25*G29*G36*Tariff!C35</f>
        <v>568737.5792854276</v>
      </c>
      <c r="H57" s="94">
        <f>H8*H9*H15*H25*H29*H36*Tariff!D35</f>
        <v>568737.5792854276</v>
      </c>
    </row>
    <row r="58" spans="1:8" ht="12.75">
      <c r="A58" s="126" t="s">
        <v>54</v>
      </c>
      <c r="B58" s="79">
        <f>B8*B10*B15*B25*B29*B36*Tariff!B36</f>
        <v>246145.33741469288</v>
      </c>
      <c r="C58" s="79">
        <f>C8*C10*C15*C25*C29*C36*Tariff!C36</f>
        <v>521248.9498193498</v>
      </c>
      <c r="D58" s="79">
        <f>D8*D10*D15*D25*D29*D36*Tariff!D36</f>
        <v>550207.2248093135</v>
      </c>
      <c r="E58" s="47"/>
      <c r="F58" s="94">
        <f>F8*F10*F15*F25*F29*F36*Tariff!B36</f>
        <v>208537.11240465674</v>
      </c>
      <c r="G58" s="94">
        <f>G8*G10*G15*G25*G29*G36*Tariff!C36</f>
        <v>417074.2248093135</v>
      </c>
      <c r="H58" s="94">
        <f>H8*H10*H15*H25*H29*H36*Tariff!D36</f>
        <v>417074.2248093135</v>
      </c>
    </row>
    <row r="59" spans="1:8" ht="12.75">
      <c r="A59" s="126" t="s">
        <v>55</v>
      </c>
      <c r="B59" s="79">
        <f>B8*B11*B15*B25*B29*B36*Tariff!B37</f>
        <v>48483.172521075874</v>
      </c>
      <c r="C59" s="79">
        <f>C8*C11*C15*C25*C29*C36*Tariff!C37</f>
        <v>102670.24769169009</v>
      </c>
      <c r="D59" s="79">
        <f>D8*D11*D15*D25*D29*D36*Tariff!D37</f>
        <v>108374.15034122844</v>
      </c>
      <c r="E59" s="47"/>
      <c r="F59" s="94">
        <f>F8*F11*F15*F25*F29*F36*Tariff!B37</f>
        <v>41075.49183728088</v>
      </c>
      <c r="G59" s="94">
        <f>G8*G11*G15*G25*G29*G36*Tariff!C37</f>
        <v>82150.98367456176</v>
      </c>
      <c r="H59" s="94">
        <f>H8*H11*H15*H25*H29*H36*Tariff!D37</f>
        <v>82150.98367456176</v>
      </c>
    </row>
    <row r="60" spans="1:8" ht="12.75">
      <c r="A60" s="260" t="s">
        <v>67</v>
      </c>
      <c r="B60" s="198">
        <f>SUM(B52:B59)</f>
        <v>8733897.22129667</v>
      </c>
      <c r="C60" s="198">
        <f>SUM(C52:C59)</f>
        <v>18495311.762745887</v>
      </c>
      <c r="D60" s="198">
        <f>SUM(D52:D59)</f>
        <v>19522829.082898434</v>
      </c>
      <c r="E60" s="106"/>
      <c r="F60" s="198">
        <f>SUM(F52:F59)</f>
        <v>5016175.173491234</v>
      </c>
      <c r="G60" s="198">
        <f>SUM(G52:G59)</f>
        <v>10032350.346982468</v>
      </c>
      <c r="H60" s="198">
        <f>SUM(H52:H59)</f>
        <v>10032350.346982468</v>
      </c>
    </row>
    <row r="61" spans="1:8" ht="12.75">
      <c r="A61" s="260"/>
      <c r="B61" s="198"/>
      <c r="C61" s="198"/>
      <c r="D61" s="198"/>
      <c r="E61" s="106"/>
      <c r="F61" s="198"/>
      <c r="G61" s="198"/>
      <c r="H61" s="198"/>
    </row>
    <row r="62" spans="1:8" ht="12.75">
      <c r="A62" s="260" t="s">
        <v>262</v>
      </c>
      <c r="B62" s="198">
        <f>B48+B60</f>
        <v>11219111.2313328</v>
      </c>
      <c r="C62" s="198">
        <f>C48+C60</f>
        <v>21241825.265756726</v>
      </c>
      <c r="D62" s="198">
        <f>D48+D60</f>
        <v>25913379.394419912</v>
      </c>
      <c r="E62" s="106"/>
      <c r="F62" s="198">
        <f>F48+F60</f>
        <v>7138314.500401445</v>
      </c>
      <c r="G62" s="198">
        <f>G48+G60</f>
        <v>12287123.381824566</v>
      </c>
      <c r="H62" s="198">
        <f>H48+H60</f>
        <v>14807163.832530443</v>
      </c>
    </row>
    <row r="63" spans="1:8" ht="12.75">
      <c r="A63" s="258"/>
      <c r="B63" s="47"/>
      <c r="C63" s="47"/>
      <c r="D63" s="47"/>
      <c r="E63" s="47"/>
      <c r="F63" s="93"/>
      <c r="G63" s="93"/>
      <c r="H63" s="93"/>
    </row>
    <row r="64" spans="1:8" ht="12.75">
      <c r="A64" s="261" t="s">
        <v>65</v>
      </c>
      <c r="B64" s="47"/>
      <c r="C64" s="47"/>
      <c r="D64" s="47"/>
      <c r="E64" s="47"/>
      <c r="F64" s="93"/>
      <c r="G64" s="93"/>
      <c r="H64" s="93"/>
    </row>
    <row r="65" spans="1:8" ht="12.75">
      <c r="A65" s="259" t="s">
        <v>170</v>
      </c>
      <c r="B65" s="81">
        <f>B34*(B10+B11)*B36*35</f>
        <v>483709.50767763954</v>
      </c>
      <c r="C65" s="81">
        <f>C34*(C10+C11)*C36*35</f>
        <v>910903.1278602971</v>
      </c>
      <c r="D65" s="81">
        <f>D34*(D10+D11)*D36*35</f>
        <v>1120344.3579887596</v>
      </c>
      <c r="E65" s="78"/>
      <c r="F65" s="81">
        <f>F34*(F10+F11)*F36*35</f>
        <v>412027.7341429145</v>
      </c>
      <c r="G65" s="81">
        <f>G34*(G10+G11)*G36*35</f>
        <v>729553.6943998394</v>
      </c>
      <c r="H65" s="81">
        <f>H34*(H10+H11)*H36*35</f>
        <v>849255.9413220928</v>
      </c>
    </row>
    <row r="66" spans="1:8" ht="12.75">
      <c r="A66" s="258" t="s">
        <v>163</v>
      </c>
      <c r="B66" s="94">
        <f>B34*B36*5</f>
        <v>111193.55615214774</v>
      </c>
      <c r="C66" s="94">
        <f>C34*C36*5</f>
        <v>209395.42533119227</v>
      </c>
      <c r="D66" s="94">
        <f>D34*D36*5</f>
        <v>257541.0888197511</v>
      </c>
      <c r="E66" s="47"/>
      <c r="F66" s="94">
        <f>F34*F36*5</f>
        <v>94715.58500602166</v>
      </c>
      <c r="G66" s="94">
        <f>G34*G36*5</f>
        <v>167707.4119831393</v>
      </c>
      <c r="H66" s="94">
        <f>H34*H36*5</f>
        <v>195224.17215308442</v>
      </c>
    </row>
    <row r="67" spans="1:8" ht="12.75">
      <c r="A67" s="258" t="s">
        <v>57</v>
      </c>
      <c r="B67" s="94">
        <f>B34*10</f>
        <v>92247</v>
      </c>
      <c r="C67" s="94">
        <f>C34*10</f>
        <v>173716</v>
      </c>
      <c r="D67" s="94">
        <f>D34*10</f>
        <v>213658</v>
      </c>
      <c r="E67" s="47"/>
      <c r="F67" s="94">
        <f>F34*10</f>
        <v>103659</v>
      </c>
      <c r="G67" s="94">
        <f>G34*10</f>
        <v>183543</v>
      </c>
      <c r="H67" s="94">
        <f>H34*10</f>
        <v>213658</v>
      </c>
    </row>
    <row r="68" spans="1:8" ht="12.75">
      <c r="A68" s="260" t="s">
        <v>58</v>
      </c>
      <c r="B68" s="81">
        <f>SUM(B65:B67)</f>
        <v>687150.0638297873</v>
      </c>
      <c r="C68" s="81">
        <f>SUM(C65:C67)</f>
        <v>1294014.5531914893</v>
      </c>
      <c r="D68" s="81">
        <f>SUM(D65:D67)</f>
        <v>1591543.4468085107</v>
      </c>
      <c r="E68" s="47"/>
      <c r="F68" s="81">
        <f>SUM(F65:F67)</f>
        <v>610402.3191489361</v>
      </c>
      <c r="G68" s="81">
        <f>SUM(G65:G67)</f>
        <v>1080804.1063829786</v>
      </c>
      <c r="H68" s="81">
        <f>SUM(H65:H67)</f>
        <v>1258138.1134751772</v>
      </c>
    </row>
    <row r="69" spans="1:8" ht="12.75">
      <c r="A69" s="258"/>
      <c r="B69" s="47"/>
      <c r="C69" s="47"/>
      <c r="D69" s="47"/>
      <c r="E69" s="47"/>
      <c r="F69" s="93"/>
      <c r="G69" s="93"/>
      <c r="H69" s="93"/>
    </row>
    <row r="70" spans="1:8" ht="12.75">
      <c r="A70" s="178" t="s">
        <v>102</v>
      </c>
      <c r="B70" s="110">
        <f>B68+B60+B48</f>
        <v>11906261.295162586</v>
      </c>
      <c r="C70" s="110">
        <f>C68+C60+C48</f>
        <v>22535839.818948217</v>
      </c>
      <c r="D70" s="110">
        <f>D68+D60+D48</f>
        <v>27504922.84122842</v>
      </c>
      <c r="E70" s="106"/>
      <c r="F70" s="110">
        <f>F68+F60+F48</f>
        <v>7748716.81955038</v>
      </c>
      <c r="G70" s="110">
        <f>G68+G60+G48</f>
        <v>13367927.488207545</v>
      </c>
      <c r="H70" s="110">
        <f>H68+H60+H48</f>
        <v>16065301.94600562</v>
      </c>
    </row>
    <row r="71" spans="1:5" ht="15.75">
      <c r="A71" s="249" t="s">
        <v>71</v>
      </c>
      <c r="B71" s="47"/>
      <c r="C71" s="47"/>
      <c r="D71" s="47"/>
      <c r="E71" s="47"/>
    </row>
    <row r="72" spans="1:6" ht="15.75">
      <c r="A72" s="248" t="s">
        <v>0</v>
      </c>
      <c r="B72" s="3" t="s">
        <v>255</v>
      </c>
      <c r="F72" s="3" t="s">
        <v>254</v>
      </c>
    </row>
    <row r="73" spans="2:8" ht="12.75">
      <c r="B73" s="73" t="s">
        <v>8</v>
      </c>
      <c r="C73" s="73" t="s">
        <v>265</v>
      </c>
      <c r="D73" s="73" t="s">
        <v>9</v>
      </c>
      <c r="F73" s="73" t="s">
        <v>8</v>
      </c>
      <c r="G73" s="73" t="s">
        <v>265</v>
      </c>
      <c r="H73" s="73" t="s">
        <v>9</v>
      </c>
    </row>
    <row r="74" spans="1:8" ht="12.75">
      <c r="A74" s="251" t="s">
        <v>73</v>
      </c>
      <c r="B74" s="124"/>
      <c r="C74" s="124"/>
      <c r="D74" s="124"/>
      <c r="E74" s="125"/>
      <c r="F74" s="124"/>
      <c r="G74" s="124"/>
      <c r="H74" s="124"/>
    </row>
    <row r="75" spans="1:8" ht="12.75">
      <c r="A75" s="126" t="s">
        <v>95</v>
      </c>
      <c r="B75" s="69">
        <v>28</v>
      </c>
      <c r="C75" s="69">
        <v>28</v>
      </c>
      <c r="D75" s="69">
        <v>28</v>
      </c>
      <c r="F75" s="69">
        <v>28</v>
      </c>
      <c r="G75" s="69">
        <v>28</v>
      </c>
      <c r="H75" s="69">
        <v>28</v>
      </c>
    </row>
    <row r="76" spans="1:8" ht="12.75">
      <c r="A76" s="126" t="s">
        <v>96</v>
      </c>
      <c r="B76" s="69">
        <v>30</v>
      </c>
      <c r="C76" s="69">
        <v>30</v>
      </c>
      <c r="D76" s="69">
        <v>30</v>
      </c>
      <c r="F76" s="69">
        <v>30</v>
      </c>
      <c r="G76" s="69">
        <v>30</v>
      </c>
      <c r="H76" s="69">
        <v>30</v>
      </c>
    </row>
    <row r="77" spans="1:8" ht="12.75">
      <c r="A77" s="126" t="s">
        <v>97</v>
      </c>
      <c r="B77" s="69">
        <v>5</v>
      </c>
      <c r="C77" s="69">
        <v>5</v>
      </c>
      <c r="D77" s="69">
        <v>5</v>
      </c>
      <c r="E77" s="123"/>
      <c r="F77" s="69">
        <v>5</v>
      </c>
      <c r="G77" s="69">
        <v>5</v>
      </c>
      <c r="H77" s="69">
        <v>5</v>
      </c>
    </row>
    <row r="78" spans="1:8" ht="12.75">
      <c r="A78" s="126" t="s">
        <v>68</v>
      </c>
      <c r="B78" s="69">
        <f>SUM(B75:B77)</f>
        <v>63</v>
      </c>
      <c r="C78" s="69">
        <f>SUM(C75:C77)</f>
        <v>63</v>
      </c>
      <c r="D78" s="69">
        <f>SUM(D75:D77)</f>
        <v>63</v>
      </c>
      <c r="E78" s="123"/>
      <c r="F78" s="69">
        <f>SUM(F75:F77)</f>
        <v>63</v>
      </c>
      <c r="G78" s="69">
        <f>SUM(G75:G77)</f>
        <v>63</v>
      </c>
      <c r="H78" s="69">
        <f>SUM(H75:H77)</f>
        <v>63</v>
      </c>
    </row>
    <row r="79" spans="2:8" ht="12.75">
      <c r="B79" s="88"/>
      <c r="C79" s="88"/>
      <c r="D79" s="88"/>
      <c r="E79" s="47"/>
      <c r="F79" s="88"/>
      <c r="G79" s="88"/>
      <c r="H79" s="88"/>
    </row>
    <row r="80" spans="1:8" ht="12.75">
      <c r="A80" s="251" t="s">
        <v>47</v>
      </c>
      <c r="B80" s="47"/>
      <c r="C80" s="47"/>
      <c r="D80" s="47"/>
      <c r="E80" s="47"/>
      <c r="F80" s="47"/>
      <c r="G80" s="47"/>
      <c r="H80" s="47"/>
    </row>
    <row r="81" spans="1:8" ht="12.75">
      <c r="A81" s="252" t="s">
        <v>118</v>
      </c>
      <c r="B81" s="98">
        <f>'Service Assumptions'!D13*5*2</f>
        <v>10</v>
      </c>
      <c r="C81" s="98">
        <f>'Service Assumptions'!E13*5*2</f>
        <v>10</v>
      </c>
      <c r="D81" s="98">
        <f>'Service Assumptions'!F13*5*2</f>
        <v>20</v>
      </c>
      <c r="E81" s="47"/>
      <c r="F81" s="98">
        <f>'Service Assumptions'!D13*5*2</f>
        <v>10</v>
      </c>
      <c r="G81" s="98">
        <f>'Service Assumptions'!E13*5*2</f>
        <v>10</v>
      </c>
      <c r="H81" s="98">
        <f>'Service Assumptions'!F13*5*2</f>
        <v>20</v>
      </c>
    </row>
    <row r="82" spans="1:8" ht="12.75">
      <c r="A82" s="252" t="s">
        <v>117</v>
      </c>
      <c r="B82" s="98">
        <f>'Service Assumptions'!D14*13*2</f>
        <v>26</v>
      </c>
      <c r="C82" s="98">
        <f>'Service Assumptions'!E14*13*2</f>
        <v>52</v>
      </c>
      <c r="D82" s="98">
        <f>'Service Assumptions'!F14*13*2</f>
        <v>52</v>
      </c>
      <c r="E82" s="47"/>
      <c r="F82" s="98">
        <f>'Service Assumptions'!D14*13*2</f>
        <v>26</v>
      </c>
      <c r="G82" s="98">
        <f>'Service Assumptions'!E14*13*2</f>
        <v>52</v>
      </c>
      <c r="H82" s="98">
        <f>'Service Assumptions'!F14*13*2</f>
        <v>52</v>
      </c>
    </row>
    <row r="83" spans="1:8" ht="12.75">
      <c r="A83" s="252" t="s">
        <v>48</v>
      </c>
      <c r="B83" s="98">
        <f>SUM(B81:B82)</f>
        <v>36</v>
      </c>
      <c r="C83" s="98">
        <f>SUM(C81:C82)</f>
        <v>62</v>
      </c>
      <c r="D83" s="98">
        <f>SUM(D81:D82)</f>
        <v>72</v>
      </c>
      <c r="E83" s="47"/>
      <c r="F83" s="98">
        <f>SUM(F81:F82)</f>
        <v>36</v>
      </c>
      <c r="G83" s="98">
        <f>SUM(G81:G82)</f>
        <v>62</v>
      </c>
      <c r="H83" s="98">
        <f>SUM(H81:H82)</f>
        <v>72</v>
      </c>
    </row>
    <row r="84" spans="2:8" ht="12.75">
      <c r="B84" s="47"/>
      <c r="C84" s="47"/>
      <c r="D84" s="47"/>
      <c r="E84" s="47"/>
      <c r="F84" s="47"/>
      <c r="G84" s="47"/>
      <c r="H84" s="47"/>
    </row>
    <row r="85" spans="1:8" ht="12.75">
      <c r="A85" s="251" t="s">
        <v>73</v>
      </c>
      <c r="B85" s="47"/>
      <c r="C85" s="47"/>
      <c r="D85" s="47"/>
      <c r="E85" s="47"/>
      <c r="F85" s="47"/>
      <c r="G85" s="47"/>
      <c r="H85" s="47"/>
    </row>
    <row r="86" spans="1:8" ht="12.75">
      <c r="A86" s="252" t="s">
        <v>41</v>
      </c>
      <c r="B86" s="98">
        <f>B78*B81</f>
        <v>630</v>
      </c>
      <c r="C86" s="98">
        <f>C78*C81</f>
        <v>630</v>
      </c>
      <c r="D86" s="98">
        <f>D78*D81</f>
        <v>1260</v>
      </c>
      <c r="E86" s="47"/>
      <c r="F86" s="98">
        <f>F78*F81</f>
        <v>630</v>
      </c>
      <c r="G86" s="98">
        <f>G78*G81</f>
        <v>630</v>
      </c>
      <c r="H86" s="98">
        <f>H78*H81</f>
        <v>1260</v>
      </c>
    </row>
    <row r="87" spans="1:8" ht="12.75">
      <c r="A87" s="252" t="s">
        <v>42</v>
      </c>
      <c r="B87" s="98">
        <f>B78*B82</f>
        <v>1638</v>
      </c>
      <c r="C87" s="98">
        <f>C78*C82</f>
        <v>3276</v>
      </c>
      <c r="D87" s="98">
        <f>D78*D82</f>
        <v>3276</v>
      </c>
      <c r="E87" s="47"/>
      <c r="F87" s="98">
        <f>F78*F82</f>
        <v>1638</v>
      </c>
      <c r="G87" s="98">
        <f>G78*G82</f>
        <v>3276</v>
      </c>
      <c r="H87" s="98">
        <f>H78*H82</f>
        <v>3276</v>
      </c>
    </row>
    <row r="88" spans="1:8" ht="12.75">
      <c r="A88" s="252" t="s">
        <v>45</v>
      </c>
      <c r="B88" s="70">
        <f>B78*B83</f>
        <v>2268</v>
      </c>
      <c r="C88" s="70">
        <f>C78*C83</f>
        <v>3906</v>
      </c>
      <c r="D88" s="70">
        <f>D78*D83</f>
        <v>4536</v>
      </c>
      <c r="E88" s="127"/>
      <c r="F88" s="70">
        <f>F78*F83</f>
        <v>2268</v>
      </c>
      <c r="G88" s="70">
        <f>G78*G83</f>
        <v>3906</v>
      </c>
      <c r="H88" s="70">
        <f>H78*H83</f>
        <v>4536</v>
      </c>
    </row>
    <row r="89" spans="2:8" ht="12.75">
      <c r="B89" s="47"/>
      <c r="C89" s="47"/>
      <c r="D89" s="47"/>
      <c r="E89" s="47"/>
      <c r="F89" s="47"/>
      <c r="G89" s="47"/>
      <c r="H89" s="47"/>
    </row>
    <row r="90" spans="1:8" ht="12.75">
      <c r="A90" s="254" t="s">
        <v>44</v>
      </c>
      <c r="B90" s="47"/>
      <c r="C90" s="47"/>
      <c r="D90" s="47"/>
      <c r="E90" s="47"/>
      <c r="F90" s="47"/>
      <c r="G90" s="47"/>
      <c r="H90" s="47"/>
    </row>
    <row r="91" spans="1:8" ht="12.75">
      <c r="A91" s="252" t="s">
        <v>41</v>
      </c>
      <c r="B91" s="71">
        <v>0.8</v>
      </c>
      <c r="C91" s="71">
        <v>0.85</v>
      </c>
      <c r="D91" s="71">
        <v>0.9</v>
      </c>
      <c r="E91" s="47"/>
      <c r="F91" s="71">
        <v>0.8</v>
      </c>
      <c r="G91" s="71">
        <v>0.85</v>
      </c>
      <c r="H91" s="71">
        <v>0.9</v>
      </c>
    </row>
    <row r="92" spans="1:8" ht="12.75">
      <c r="A92" s="252" t="s">
        <v>42</v>
      </c>
      <c r="B92" s="71">
        <v>0.95</v>
      </c>
      <c r="C92" s="71">
        <v>0.95</v>
      </c>
      <c r="D92" s="71">
        <v>0.95</v>
      </c>
      <c r="E92" s="47"/>
      <c r="F92" s="71">
        <v>0.95</v>
      </c>
      <c r="G92" s="71">
        <v>0.95</v>
      </c>
      <c r="H92" s="71">
        <v>0.95</v>
      </c>
    </row>
    <row r="93" spans="2:8" ht="12.75">
      <c r="B93" s="47"/>
      <c r="C93" s="47"/>
      <c r="D93" s="47"/>
      <c r="E93" s="47"/>
      <c r="F93" s="47"/>
      <c r="G93" s="47"/>
      <c r="H93" s="47"/>
    </row>
    <row r="94" spans="1:8" ht="12.75">
      <c r="A94" s="254" t="s">
        <v>69</v>
      </c>
      <c r="B94" s="47"/>
      <c r="C94" s="47"/>
      <c r="D94" s="47"/>
      <c r="E94" s="47"/>
      <c r="F94" s="47"/>
      <c r="G94" s="47"/>
      <c r="H94" s="47"/>
    </row>
    <row r="95" spans="1:8" ht="12.75">
      <c r="A95" s="252" t="s">
        <v>41</v>
      </c>
      <c r="B95" s="70">
        <f aca="true" t="shared" si="0" ref="B95:D96">B86*B91</f>
        <v>504</v>
      </c>
      <c r="C95" s="70">
        <f t="shared" si="0"/>
        <v>535.5</v>
      </c>
      <c r="D95" s="70">
        <f t="shared" si="0"/>
        <v>1134</v>
      </c>
      <c r="E95" s="127"/>
      <c r="F95" s="70">
        <f aca="true" t="shared" si="1" ref="F95:H96">F86*F91</f>
        <v>504</v>
      </c>
      <c r="G95" s="70">
        <f t="shared" si="1"/>
        <v>535.5</v>
      </c>
      <c r="H95" s="70">
        <f t="shared" si="1"/>
        <v>1134</v>
      </c>
    </row>
    <row r="96" spans="1:8" ht="12.75">
      <c r="A96" s="252" t="s">
        <v>42</v>
      </c>
      <c r="B96" s="70">
        <f t="shared" si="0"/>
        <v>1556.1</v>
      </c>
      <c r="C96" s="70">
        <f t="shared" si="0"/>
        <v>3112.2</v>
      </c>
      <c r="D96" s="70">
        <f t="shared" si="0"/>
        <v>3112.2</v>
      </c>
      <c r="E96" s="127"/>
      <c r="F96" s="70">
        <f t="shared" si="1"/>
        <v>1556.1</v>
      </c>
      <c r="G96" s="70">
        <f t="shared" si="1"/>
        <v>3112.2</v>
      </c>
      <c r="H96" s="70">
        <f t="shared" si="1"/>
        <v>3112.2</v>
      </c>
    </row>
    <row r="97" spans="1:8" ht="12.75">
      <c r="A97" s="252" t="s">
        <v>68</v>
      </c>
      <c r="B97" s="70">
        <f>SUM(B95:B96)</f>
        <v>2060.1</v>
      </c>
      <c r="C97" s="70">
        <f>SUM(C95:C96)</f>
        <v>3647.7</v>
      </c>
      <c r="D97" s="70">
        <f>SUM(D95:D96)</f>
        <v>4246.2</v>
      </c>
      <c r="E97" s="127"/>
      <c r="F97" s="70">
        <f>SUM(F95:F96)</f>
        <v>2060.1</v>
      </c>
      <c r="G97" s="70">
        <f>SUM(G95:G96)</f>
        <v>3647.7</v>
      </c>
      <c r="H97" s="70">
        <f>SUM(H95:H96)</f>
        <v>4246.2</v>
      </c>
    </row>
    <row r="98" spans="1:8" ht="12.75">
      <c r="A98" s="252"/>
      <c r="B98" s="47"/>
      <c r="C98" s="47"/>
      <c r="D98" s="47"/>
      <c r="E98" s="47"/>
      <c r="F98" s="47"/>
      <c r="G98" s="47"/>
      <c r="H98" s="47"/>
    </row>
    <row r="99" spans="1:8" ht="12.75">
      <c r="A99" s="255" t="s">
        <v>63</v>
      </c>
      <c r="B99" s="47"/>
      <c r="C99" s="47"/>
      <c r="D99" s="47"/>
      <c r="E99" s="47"/>
      <c r="F99" s="47"/>
      <c r="G99" s="47"/>
      <c r="H99" s="47"/>
    </row>
    <row r="100" spans="1:8" ht="12.75">
      <c r="A100" s="252" t="s">
        <v>238</v>
      </c>
      <c r="B100" s="90">
        <f>'Service Assumptions'!B61</f>
        <v>2.410778803693296</v>
      </c>
      <c r="C100" s="90">
        <f>'Service Assumptions'!B61</f>
        <v>2.410778803693296</v>
      </c>
      <c r="D100" s="90">
        <f>'Service Assumptions'!B61</f>
        <v>2.410778803693296</v>
      </c>
      <c r="E100" s="99"/>
      <c r="F100" s="90">
        <f>'Service Assumptions'!B59</f>
        <v>1.8274454703599625</v>
      </c>
      <c r="G100" s="90">
        <f>'Service Assumptions'!B59</f>
        <v>1.8274454703599625</v>
      </c>
      <c r="H100" s="90">
        <f>'Service Assumptions'!B59</f>
        <v>1.8274454703599625</v>
      </c>
    </row>
    <row r="101" spans="1:8" ht="12.75">
      <c r="A101" s="252"/>
      <c r="B101" s="131"/>
      <c r="C101" s="131"/>
      <c r="D101" s="131"/>
      <c r="E101" s="131"/>
      <c r="F101" s="131"/>
      <c r="G101" s="131"/>
      <c r="H101" s="131"/>
    </row>
    <row r="102" spans="1:8" ht="12.75">
      <c r="A102" s="254" t="s">
        <v>99</v>
      </c>
      <c r="B102" s="70">
        <f>'Service Assumptions'!B38+490</f>
        <v>2180</v>
      </c>
      <c r="C102" s="70">
        <f>'Service Assumptions'!B38+490</f>
        <v>2180</v>
      </c>
      <c r="D102" s="70">
        <f>'Service Assumptions'!B38+490</f>
        <v>2180</v>
      </c>
      <c r="E102" s="87"/>
      <c r="F102" s="70">
        <f>'Service Assumptions'!B38</f>
        <v>1690</v>
      </c>
      <c r="G102" s="70">
        <f>'Service Assumptions'!B38</f>
        <v>1690</v>
      </c>
      <c r="H102" s="70">
        <f>'Service Assumptions'!B38</f>
        <v>1690</v>
      </c>
    </row>
    <row r="103" spans="2:8" ht="12.75">
      <c r="B103" s="47"/>
      <c r="C103" s="47"/>
      <c r="D103" s="47"/>
      <c r="E103" s="47"/>
      <c r="F103" s="47"/>
      <c r="G103" s="47"/>
      <c r="H103" s="47"/>
    </row>
    <row r="104" spans="2:8" ht="12.75">
      <c r="B104" s="47"/>
      <c r="C104" s="47"/>
      <c r="D104" s="47"/>
      <c r="E104" s="47"/>
      <c r="F104" s="47"/>
      <c r="G104" s="47"/>
      <c r="H104" s="47"/>
    </row>
    <row r="105" spans="1:8" ht="15.75">
      <c r="A105" s="256" t="s">
        <v>64</v>
      </c>
      <c r="B105" s="47"/>
      <c r="C105" s="47"/>
      <c r="D105" s="47"/>
      <c r="E105" s="47"/>
      <c r="F105" s="47"/>
      <c r="G105" s="47"/>
      <c r="H105" s="47"/>
    </row>
    <row r="106" spans="1:8" ht="12.75">
      <c r="A106" s="257" t="s">
        <v>100</v>
      </c>
      <c r="B106" s="47"/>
      <c r="C106" s="47"/>
      <c r="D106" s="47"/>
      <c r="E106" s="47"/>
      <c r="F106" s="47"/>
      <c r="G106" s="47"/>
      <c r="H106" s="47"/>
    </row>
    <row r="107" spans="1:8" ht="12.75">
      <c r="A107" s="126" t="s">
        <v>95</v>
      </c>
      <c r="B107" s="81">
        <f>B75*B81*B91*Tariff!B22*B102</f>
        <v>170911.99999999997</v>
      </c>
      <c r="C107" s="81">
        <f>C75*C81*C91*Tariff!C22*C102</f>
        <v>181594</v>
      </c>
      <c r="D107" s="81">
        <f>D75*D81*D91*Tariff!D22*D102</f>
        <v>384551.99999999994</v>
      </c>
      <c r="E107" s="128"/>
      <c r="F107" s="81">
        <f>F75*F81*F91*Tariff!B22*F102</f>
        <v>132496</v>
      </c>
      <c r="G107" s="81">
        <f>G75*G81*G91*Tariff!C22*G102</f>
        <v>140777</v>
      </c>
      <c r="H107" s="81">
        <f>H75*H81*H91*Tariff!D22*H102</f>
        <v>298115.99999999994</v>
      </c>
    </row>
    <row r="108" spans="1:8" ht="12.75">
      <c r="A108" s="126" t="s">
        <v>96</v>
      </c>
      <c r="B108" s="81">
        <f>B76*B81*B91*Tariff!B23*B102</f>
        <v>235440</v>
      </c>
      <c r="C108" s="81">
        <f>C76*C81*C91*Tariff!C23*C102</f>
        <v>250155</v>
      </c>
      <c r="D108" s="81">
        <f>D76*D81*D91*Tariff!D23*D102</f>
        <v>529740</v>
      </c>
      <c r="E108" s="128"/>
      <c r="F108" s="81">
        <f>F76*F81*F91*Tariff!B23*F102</f>
        <v>182520</v>
      </c>
      <c r="G108" s="81">
        <f>G76*G81*G91*Tariff!C23*G102</f>
        <v>193927.5</v>
      </c>
      <c r="H108" s="81">
        <f>H76*H81*H91*Tariff!D23*H102</f>
        <v>410670</v>
      </c>
    </row>
    <row r="109" spans="1:8" ht="12.75">
      <c r="A109" s="126" t="s">
        <v>97</v>
      </c>
      <c r="B109" s="81">
        <f>B77*B81*B91*Tariff!B24*B102</f>
        <v>21800</v>
      </c>
      <c r="C109" s="81">
        <f>C77*C81*C91*Tariff!C24*C102</f>
        <v>23162.5</v>
      </c>
      <c r="D109" s="81">
        <f>D77*D81*D91*Tariff!D24*D102</f>
        <v>49050</v>
      </c>
      <c r="E109" s="128"/>
      <c r="F109" s="81">
        <f>F77*F81*F91*Tariff!B24*F102</f>
        <v>16900</v>
      </c>
      <c r="G109" s="81">
        <f>G77*G81*G91*Tariff!C24*G102</f>
        <v>17956.25</v>
      </c>
      <c r="H109" s="81">
        <f>H77*H81*H91*Tariff!D24*H102</f>
        <v>38025</v>
      </c>
    </row>
    <row r="110" spans="1:8" ht="12.75">
      <c r="A110" s="260" t="s">
        <v>66</v>
      </c>
      <c r="B110" s="107">
        <f>SUM(B107:B109)</f>
        <v>428152</v>
      </c>
      <c r="C110" s="107">
        <f>SUM(C107:C109)</f>
        <v>454911.5</v>
      </c>
      <c r="D110" s="107">
        <f>SUM(D107:D109)</f>
        <v>963342</v>
      </c>
      <c r="E110" s="108"/>
      <c r="F110" s="107">
        <f>SUM(F107:F109)</f>
        <v>331916</v>
      </c>
      <c r="G110" s="107">
        <f>SUM(G107:G109)</f>
        <v>352660.75</v>
      </c>
      <c r="H110" s="107">
        <f>SUM(H107:H109)</f>
        <v>746811</v>
      </c>
    </row>
    <row r="111" spans="1:8" ht="12.75">
      <c r="A111" s="258"/>
      <c r="B111" s="47"/>
      <c r="C111" s="47"/>
      <c r="D111" s="47"/>
      <c r="E111" s="47"/>
      <c r="F111" s="47"/>
      <c r="G111" s="47"/>
      <c r="H111" s="47"/>
    </row>
    <row r="112" spans="1:8" ht="12.75">
      <c r="A112" s="257" t="s">
        <v>101</v>
      </c>
      <c r="B112" s="47"/>
      <c r="C112" s="47"/>
      <c r="D112" s="47"/>
      <c r="E112" s="47"/>
      <c r="F112" s="47"/>
      <c r="G112" s="47"/>
      <c r="H112" s="47"/>
    </row>
    <row r="113" spans="1:8" ht="12.75">
      <c r="A113" s="126" t="s">
        <v>95</v>
      </c>
      <c r="B113" s="81">
        <f>B75*B82*B92*Tariff!B40*B102</f>
        <v>603075.2000000001</v>
      </c>
      <c r="C113" s="81">
        <f>C75*C82*C92*Tariff!C40*C102</f>
        <v>1206150.4000000001</v>
      </c>
      <c r="D113" s="81">
        <f>D75*D82*D92*Tariff!D40*D102</f>
        <v>1206150.4000000001</v>
      </c>
      <c r="E113" s="128"/>
      <c r="F113" s="81">
        <f>F75*F82*F92*Tariff!B40*F102</f>
        <v>467521.6000000001</v>
      </c>
      <c r="G113" s="81">
        <f>G75*G82*G92*Tariff!C40*G102</f>
        <v>935043.2000000002</v>
      </c>
      <c r="H113" s="81">
        <f>H75*H82*H92*Tariff!D40*H102</f>
        <v>935043.2000000002</v>
      </c>
    </row>
    <row r="114" spans="1:8" ht="12.75">
      <c r="A114" s="126" t="s">
        <v>96</v>
      </c>
      <c r="B114" s="81">
        <f>B76*B82*B92*Tariff!B41*B102</f>
        <v>807690</v>
      </c>
      <c r="C114" s="81">
        <f>C76*C82*C92*Tariff!C41*C102</f>
        <v>1615380</v>
      </c>
      <c r="D114" s="81">
        <f>D76*D82*D92*Tariff!D41*D102</f>
        <v>1615380</v>
      </c>
      <c r="E114" s="128"/>
      <c r="F114" s="81">
        <f>F76*F82*F92*Tariff!B41*F102</f>
        <v>626145</v>
      </c>
      <c r="G114" s="81">
        <f>G76*G82*G92*Tariff!C41*G102</f>
        <v>1252290</v>
      </c>
      <c r="H114" s="81">
        <f>H76*H82*H92*Tariff!D41*H102</f>
        <v>1252290</v>
      </c>
    </row>
    <row r="115" spans="1:8" ht="12.75">
      <c r="A115" s="126" t="s">
        <v>97</v>
      </c>
      <c r="B115" s="81">
        <f>B77*B82*B92*Tariff!B42*B102</f>
        <v>80769</v>
      </c>
      <c r="C115" s="81">
        <f>C77*C82*C92*Tariff!C42*C102</f>
        <v>161538</v>
      </c>
      <c r="D115" s="81">
        <f>D77*D82*D92*Tariff!D42*D102</f>
        <v>161538</v>
      </c>
      <c r="E115" s="128"/>
      <c r="F115" s="81">
        <f>F77*F82*F92*Tariff!B42*F102</f>
        <v>62614.49999999999</v>
      </c>
      <c r="G115" s="81">
        <f>G77*G82*G92*Tariff!C42*G102</f>
        <v>125228.99999999999</v>
      </c>
      <c r="H115" s="81">
        <f>H77*H82*H92*Tariff!D42*H102</f>
        <v>125228.99999999999</v>
      </c>
    </row>
    <row r="116" spans="1:8" ht="12.75">
      <c r="A116" s="260" t="s">
        <v>67</v>
      </c>
      <c r="B116" s="107">
        <f>SUM(B113:B115)</f>
        <v>1491534.2000000002</v>
      </c>
      <c r="C116" s="107">
        <f aca="true" t="shared" si="2" ref="C116:H116">SUM(C113:C115)</f>
        <v>2983068.4000000004</v>
      </c>
      <c r="D116" s="107">
        <f t="shared" si="2"/>
        <v>2983068.4000000004</v>
      </c>
      <c r="E116" s="130"/>
      <c r="F116" s="107">
        <f t="shared" si="2"/>
        <v>1156281.1</v>
      </c>
      <c r="G116" s="107">
        <f t="shared" si="2"/>
        <v>2312562.2</v>
      </c>
      <c r="H116" s="107">
        <f t="shared" si="2"/>
        <v>2312562.2</v>
      </c>
    </row>
    <row r="117" spans="1:8" ht="12.75">
      <c r="A117" s="258"/>
      <c r="B117" s="47"/>
      <c r="C117" s="47"/>
      <c r="D117" s="47"/>
      <c r="E117" s="47"/>
      <c r="F117" s="47"/>
      <c r="G117" s="47"/>
      <c r="H117" s="47"/>
    </row>
    <row r="118" spans="1:8" ht="12.75">
      <c r="A118" s="258"/>
      <c r="B118" s="47"/>
      <c r="C118" s="47"/>
      <c r="D118" s="47"/>
      <c r="E118" s="47"/>
      <c r="F118" s="47"/>
      <c r="G118" s="47"/>
      <c r="H118" s="47"/>
    </row>
    <row r="119" spans="1:8" ht="12.75">
      <c r="A119" s="178" t="s">
        <v>103</v>
      </c>
      <c r="B119" s="110">
        <f>B110+B116</f>
        <v>1919686.2000000002</v>
      </c>
      <c r="C119" s="110">
        <f>C110+C116</f>
        <v>3437979.9000000004</v>
      </c>
      <c r="D119" s="110">
        <f>D110+D116</f>
        <v>3946410.4000000004</v>
      </c>
      <c r="E119" s="132"/>
      <c r="F119" s="110">
        <f>F110+F116</f>
        <v>1488197.1</v>
      </c>
      <c r="G119" s="110">
        <f>G110+G116</f>
        <v>2665222.95</v>
      </c>
      <c r="H119" s="110">
        <f>H110+H116</f>
        <v>3059373.2</v>
      </c>
    </row>
    <row r="120" spans="2:8" ht="12.75">
      <c r="B120" s="47"/>
      <c r="C120" s="47"/>
      <c r="D120" s="47"/>
      <c r="E120" s="47"/>
      <c r="F120" s="47"/>
      <c r="G120" s="47"/>
      <c r="H120" s="47"/>
    </row>
    <row r="121" spans="2:8" ht="12.75">
      <c r="B121" s="47"/>
      <c r="C121" s="47"/>
      <c r="D121" s="47"/>
      <c r="E121" s="47"/>
      <c r="F121" s="47"/>
      <c r="G121" s="47"/>
      <c r="H121" s="47"/>
    </row>
    <row r="122" spans="1:8" ht="15.75">
      <c r="A122" s="249" t="s">
        <v>120</v>
      </c>
      <c r="B122" s="47"/>
      <c r="C122" s="47"/>
      <c r="D122" s="47"/>
      <c r="E122" s="47"/>
      <c r="F122" s="47"/>
      <c r="G122" s="47"/>
      <c r="H122" s="47"/>
    </row>
    <row r="123" spans="2:8" ht="12.75">
      <c r="B123" s="47"/>
      <c r="C123" s="47"/>
      <c r="D123" s="47"/>
      <c r="E123" s="47"/>
      <c r="F123" s="47"/>
      <c r="G123" s="47"/>
      <c r="H123" s="47"/>
    </row>
    <row r="124" spans="1:8" ht="12.75">
      <c r="A124" s="4" t="s">
        <v>70</v>
      </c>
      <c r="B124" s="95">
        <f>B70</f>
        <v>11906261.295162586</v>
      </c>
      <c r="C124" s="95">
        <f>C70</f>
        <v>22535839.818948217</v>
      </c>
      <c r="D124" s="95">
        <f>D70</f>
        <v>27504922.84122842</v>
      </c>
      <c r="E124" s="75"/>
      <c r="F124" s="95">
        <f>F70</f>
        <v>7748716.81955038</v>
      </c>
      <c r="G124" s="95">
        <f>G70</f>
        <v>13367927.488207545</v>
      </c>
      <c r="H124" s="95">
        <f>H70</f>
        <v>16065301.94600562</v>
      </c>
    </row>
    <row r="125" spans="2:8" ht="12.75">
      <c r="B125" s="100"/>
      <c r="C125" s="100"/>
      <c r="D125" s="100"/>
      <c r="E125" s="75"/>
      <c r="F125" s="100"/>
      <c r="G125" s="100"/>
      <c r="H125" s="100"/>
    </row>
    <row r="126" spans="1:8" ht="12.75">
      <c r="A126" s="4" t="s">
        <v>71</v>
      </c>
      <c r="B126" s="101">
        <f>B119</f>
        <v>1919686.2000000002</v>
      </c>
      <c r="C126" s="101">
        <f>C119</f>
        <v>3437979.9000000004</v>
      </c>
      <c r="D126" s="101">
        <f>D119</f>
        <v>3946410.4000000004</v>
      </c>
      <c r="E126" s="102"/>
      <c r="F126" s="101">
        <f>F119</f>
        <v>1488197.1</v>
      </c>
      <c r="G126" s="101">
        <f>G119</f>
        <v>2665222.95</v>
      </c>
      <c r="H126" s="101">
        <f>H119</f>
        <v>3059373.2</v>
      </c>
    </row>
    <row r="127" spans="1:8" ht="12.75">
      <c r="A127" s="4"/>
      <c r="B127" s="101"/>
      <c r="C127" s="101"/>
      <c r="D127" s="101"/>
      <c r="E127" s="102"/>
      <c r="F127" s="101"/>
      <c r="G127" s="101"/>
      <c r="H127" s="101"/>
    </row>
    <row r="128" spans="1:8" ht="12.75">
      <c r="A128" s="4" t="s">
        <v>72</v>
      </c>
      <c r="B128" s="95">
        <f>B124+B126</f>
        <v>13825947.495162588</v>
      </c>
      <c r="C128" s="95">
        <f aca="true" t="shared" si="3" ref="C128:H128">C124+C126</f>
        <v>25973819.718948215</v>
      </c>
      <c r="D128" s="95">
        <f t="shared" si="3"/>
        <v>31451333.241228424</v>
      </c>
      <c r="E128" s="103"/>
      <c r="F128" s="95">
        <f t="shared" si="3"/>
        <v>9236913.91955038</v>
      </c>
      <c r="G128" s="95">
        <f t="shared" si="3"/>
        <v>16033150.438207544</v>
      </c>
      <c r="H128" s="95">
        <f t="shared" si="3"/>
        <v>19124675.14600562</v>
      </c>
    </row>
    <row r="129" spans="2:8" ht="12.75">
      <c r="B129" s="47"/>
      <c r="C129" s="47"/>
      <c r="D129" s="47"/>
      <c r="E129" s="47"/>
      <c r="F129" s="47"/>
      <c r="G129" s="47"/>
      <c r="H129" s="47"/>
    </row>
    <row r="130" spans="2:8" ht="12.75">
      <c r="B130" s="47"/>
      <c r="C130" s="47"/>
      <c r="D130" s="47"/>
      <c r="E130" s="47"/>
      <c r="F130" s="47"/>
      <c r="G130" s="47"/>
      <c r="H130" s="47"/>
    </row>
    <row r="131" spans="2:8" ht="12.75">
      <c r="B131" s="47"/>
      <c r="C131" s="47"/>
      <c r="D131" s="47"/>
      <c r="E131" s="47"/>
      <c r="F131" s="47"/>
      <c r="G131" s="47"/>
      <c r="H131" s="47"/>
    </row>
    <row r="132" spans="2:8" ht="12.75">
      <c r="B132" s="47"/>
      <c r="C132" s="47"/>
      <c r="D132" s="47"/>
      <c r="E132" s="47"/>
      <c r="F132" s="47"/>
      <c r="G132" s="47"/>
      <c r="H132" s="47"/>
    </row>
    <row r="133" spans="2:8" ht="12.75">
      <c r="B133" s="47"/>
      <c r="C133" s="47"/>
      <c r="D133" s="47"/>
      <c r="E133" s="47"/>
      <c r="F133" s="47"/>
      <c r="G133" s="47"/>
      <c r="H133" s="47"/>
    </row>
  </sheetData>
  <printOptions/>
  <pageMargins left="0.75" right="0.75" top="1" bottom="1" header="0.5" footer="0.5"/>
  <pageSetup horizontalDpi="300" verticalDpi="300" orientation="landscape" scale="75" r:id="rId1"/>
  <rowBreaks count="2" manualBreakCount="2">
    <brk id="37" max="255" man="1"/>
    <brk id="70" max="255" man="1"/>
  </rowBreaks>
</worksheet>
</file>

<file path=xl/worksheets/sheet7.xml><?xml version="1.0" encoding="utf-8"?>
<worksheet xmlns="http://schemas.openxmlformats.org/spreadsheetml/2006/main" xmlns:r="http://schemas.openxmlformats.org/officeDocument/2006/relationships">
  <sheetPr>
    <tabColor indexed="43"/>
  </sheetPr>
  <dimension ref="A1:E426"/>
  <sheetViews>
    <sheetView workbookViewId="0" topLeftCell="A61">
      <selection activeCell="B53" sqref="B53"/>
    </sheetView>
  </sheetViews>
  <sheetFormatPr defaultColWidth="9.140625" defaultRowHeight="12.75"/>
  <cols>
    <col min="1" max="1" width="30.7109375" style="176" customWidth="1"/>
    <col min="2" max="4" width="12.7109375" style="0" customWidth="1"/>
    <col min="5" max="5" width="6.7109375" style="0" customWidth="1"/>
    <col min="6" max="8" width="12.7109375" style="0" customWidth="1"/>
  </cols>
  <sheetData>
    <row r="1" ht="15.75">
      <c r="A1" s="6" t="s">
        <v>317</v>
      </c>
    </row>
    <row r="2" ht="15.75">
      <c r="A2" s="248" t="s">
        <v>323</v>
      </c>
    </row>
    <row r="3" ht="15.75">
      <c r="A3" s="248" t="s">
        <v>290</v>
      </c>
    </row>
    <row r="5" ht="15.75">
      <c r="A5" s="249" t="s">
        <v>64</v>
      </c>
    </row>
    <row r="6" spans="1:2" ht="15.75">
      <c r="A6" s="248" t="s">
        <v>0</v>
      </c>
      <c r="B6" s="3" t="s">
        <v>254</v>
      </c>
    </row>
    <row r="7" spans="1:4" ht="12.75">
      <c r="A7" s="250"/>
      <c r="B7" s="73" t="s">
        <v>8</v>
      </c>
      <c r="C7" s="73" t="s">
        <v>265</v>
      </c>
      <c r="D7" s="73" t="s">
        <v>9</v>
      </c>
    </row>
    <row r="8" spans="1:5" ht="12.75">
      <c r="A8" s="251" t="s">
        <v>51</v>
      </c>
      <c r="B8" s="69">
        <f>B10+B11</f>
        <v>109</v>
      </c>
      <c r="C8" s="69">
        <f>C10+C11</f>
        <v>109</v>
      </c>
      <c r="D8" s="69">
        <f>D10+D11</f>
        <v>109</v>
      </c>
      <c r="E8" s="97"/>
    </row>
    <row r="9" spans="1:5" ht="12.75">
      <c r="A9" s="252" t="s">
        <v>53</v>
      </c>
      <c r="B9" s="148"/>
      <c r="C9" s="148"/>
      <c r="D9" s="148"/>
      <c r="E9" s="97"/>
    </row>
    <row r="10" spans="1:5" ht="12.75">
      <c r="A10" s="252" t="s">
        <v>54</v>
      </c>
      <c r="B10" s="105">
        <f>'Service Assumptions'!C138</f>
        <v>44</v>
      </c>
      <c r="C10" s="105">
        <f>'Service Assumptions'!D138</f>
        <v>44</v>
      </c>
      <c r="D10" s="105">
        <f>'Service Assumptions'!E138</f>
        <v>44</v>
      </c>
      <c r="E10" s="97"/>
    </row>
    <row r="11" spans="1:5" ht="12.75">
      <c r="A11" s="252" t="s">
        <v>55</v>
      </c>
      <c r="B11" s="139">
        <f>'Service Assumptions'!C142</f>
        <v>65</v>
      </c>
      <c r="C11" s="139">
        <f>'Service Assumptions'!D142</f>
        <v>65</v>
      </c>
      <c r="D11" s="139">
        <f>'Service Assumptions'!E142</f>
        <v>65</v>
      </c>
      <c r="E11" s="140"/>
    </row>
    <row r="12" spans="1:5" ht="12.75">
      <c r="A12" s="253"/>
      <c r="B12" s="140"/>
      <c r="C12" s="140"/>
      <c r="D12" s="140"/>
      <c r="E12" s="140"/>
    </row>
    <row r="13" spans="1:5" ht="12.75">
      <c r="A13" s="251" t="s">
        <v>165</v>
      </c>
      <c r="B13" s="139">
        <f>'Service Assumptions'!D15*34*2</f>
        <v>68</v>
      </c>
      <c r="C13" s="139">
        <f>'Service Assumptions'!E15*34*2</f>
        <v>68</v>
      </c>
      <c r="D13" s="139">
        <f>'Service Assumptions'!F15*34*2</f>
        <v>68</v>
      </c>
      <c r="E13" s="140"/>
    </row>
    <row r="14" spans="1:5" ht="12.75">
      <c r="A14" s="251"/>
      <c r="B14" s="140"/>
      <c r="C14" s="140"/>
      <c r="D14" s="140"/>
      <c r="E14" s="140"/>
    </row>
    <row r="15" spans="1:5" ht="12.75">
      <c r="A15" s="251" t="s">
        <v>136</v>
      </c>
      <c r="B15" s="164">
        <f>B8*B13</f>
        <v>7412</v>
      </c>
      <c r="C15" s="164">
        <f>C8*C13</f>
        <v>7412</v>
      </c>
      <c r="D15" s="164">
        <f>D8*D13</f>
        <v>7412</v>
      </c>
      <c r="E15" s="140"/>
    </row>
    <row r="16" spans="1:5" ht="12.75">
      <c r="A16" s="251"/>
      <c r="B16" s="140"/>
      <c r="C16" s="140"/>
      <c r="D16" s="140"/>
      <c r="E16" s="140"/>
    </row>
    <row r="17" spans="1:5" ht="12.75">
      <c r="A17" s="253"/>
      <c r="B17" s="140"/>
      <c r="C17" s="140"/>
      <c r="D17" s="140"/>
      <c r="E17" s="140"/>
    </row>
    <row r="18" spans="1:5" ht="12.75">
      <c r="A18" s="254" t="s">
        <v>44</v>
      </c>
      <c r="B18" s="165">
        <v>0.3</v>
      </c>
      <c r="C18" s="165">
        <v>0.5</v>
      </c>
      <c r="D18" s="165">
        <v>0.7</v>
      </c>
      <c r="E18" s="140"/>
    </row>
    <row r="19" spans="1:5" ht="12.75">
      <c r="A19" s="252"/>
      <c r="B19" s="140"/>
      <c r="C19" s="140"/>
      <c r="D19" s="140"/>
      <c r="E19" s="140"/>
    </row>
    <row r="20" spans="1:5" ht="12.75">
      <c r="A20" s="254" t="s">
        <v>62</v>
      </c>
      <c r="B20" s="140"/>
      <c r="C20" s="140"/>
      <c r="D20" s="140"/>
      <c r="E20" s="140"/>
    </row>
    <row r="21" spans="1:5" ht="12.75">
      <c r="A21" s="252" t="s">
        <v>52</v>
      </c>
      <c r="B21" s="165">
        <v>0.9</v>
      </c>
      <c r="C21" s="165">
        <v>0.9</v>
      </c>
      <c r="D21" s="165">
        <v>0.9</v>
      </c>
      <c r="E21" s="140"/>
    </row>
    <row r="22" spans="1:5" ht="12.75">
      <c r="A22" s="252" t="s">
        <v>61</v>
      </c>
      <c r="B22" s="165">
        <v>0.1</v>
      </c>
      <c r="C22" s="165">
        <v>0.1</v>
      </c>
      <c r="D22" s="165">
        <v>0.1</v>
      </c>
      <c r="E22" s="140"/>
    </row>
    <row r="23" spans="1:5" ht="12.75">
      <c r="A23" s="252"/>
      <c r="B23" s="140"/>
      <c r="C23" s="140"/>
      <c r="D23" s="140"/>
      <c r="E23" s="140"/>
    </row>
    <row r="24" spans="1:5" ht="12.75">
      <c r="A24" s="254" t="s">
        <v>49</v>
      </c>
      <c r="B24" s="140"/>
      <c r="C24" s="140"/>
      <c r="D24" s="140"/>
      <c r="E24" s="140"/>
    </row>
    <row r="25" spans="1:5" ht="12.75">
      <c r="A25" s="252" t="s">
        <v>121</v>
      </c>
      <c r="B25" s="164">
        <f>B15*B21*B18</f>
        <v>2001.24</v>
      </c>
      <c r="C25" s="164">
        <f>C15*C21*C18</f>
        <v>3335.4</v>
      </c>
      <c r="D25" s="164">
        <f>D15*D21*D18</f>
        <v>4669.5599999999995</v>
      </c>
      <c r="E25" s="140"/>
    </row>
    <row r="26" spans="1:5" ht="12.75">
      <c r="A26" s="252" t="s">
        <v>122</v>
      </c>
      <c r="B26" s="164">
        <f>B15*B22*B18</f>
        <v>222.36</v>
      </c>
      <c r="C26" s="164">
        <f>C15*C22*C18</f>
        <v>370.6</v>
      </c>
      <c r="D26" s="164">
        <f>D15*D22*D18</f>
        <v>518.84</v>
      </c>
      <c r="E26" s="140"/>
    </row>
    <row r="27" spans="1:5" ht="12.75">
      <c r="A27" s="252" t="s">
        <v>50</v>
      </c>
      <c r="B27" s="164">
        <f>B25+B26</f>
        <v>2223.6</v>
      </c>
      <c r="C27" s="164">
        <f>C25+C26</f>
        <v>3706</v>
      </c>
      <c r="D27" s="164">
        <f>D25+D26</f>
        <v>5188.4</v>
      </c>
      <c r="E27" s="140"/>
    </row>
    <row r="28" spans="1:5" ht="12.75">
      <c r="A28" s="252"/>
      <c r="B28" s="140"/>
      <c r="C28" s="140"/>
      <c r="D28" s="140"/>
      <c r="E28" s="140"/>
    </row>
    <row r="29" spans="1:5" ht="12.75">
      <c r="A29" s="255" t="s">
        <v>63</v>
      </c>
      <c r="B29" s="166">
        <f>'Service Assumptions'!B59</f>
        <v>1.8274454703599625</v>
      </c>
      <c r="C29" s="166">
        <f>'Service Assumptions'!B59</f>
        <v>1.8274454703599625</v>
      </c>
      <c r="D29" s="166">
        <f>'Service Assumptions'!B59</f>
        <v>1.8274454703599625</v>
      </c>
      <c r="E29" s="140"/>
    </row>
    <row r="30" spans="1:5" ht="12.75">
      <c r="A30" s="252"/>
      <c r="B30" s="140"/>
      <c r="C30" s="140"/>
      <c r="D30" s="140"/>
      <c r="E30" s="140"/>
    </row>
    <row r="31" spans="1:5" ht="12.75">
      <c r="A31" s="255" t="s">
        <v>138</v>
      </c>
      <c r="B31" s="164">
        <f>'Service Assumptions'!B38</f>
        <v>1690</v>
      </c>
      <c r="C31" s="164">
        <f>'Service Assumptions'!B38</f>
        <v>1690</v>
      </c>
      <c r="D31" s="164">
        <f>'Service Assumptions'!B38</f>
        <v>1690</v>
      </c>
      <c r="E31" s="140"/>
    </row>
    <row r="32" spans="1:5" ht="12.75">
      <c r="A32" s="252"/>
      <c r="B32" s="140"/>
      <c r="C32" s="140"/>
      <c r="D32" s="140"/>
      <c r="E32" s="140"/>
    </row>
    <row r="33" spans="1:5" ht="15.75">
      <c r="A33" s="256" t="s">
        <v>64</v>
      </c>
      <c r="B33" s="140"/>
      <c r="C33" s="140"/>
      <c r="D33" s="140"/>
      <c r="E33" s="140"/>
    </row>
    <row r="34" spans="1:5" ht="12.75">
      <c r="A34" s="257" t="s">
        <v>166</v>
      </c>
      <c r="B34" s="140"/>
      <c r="C34" s="140"/>
      <c r="D34" s="140"/>
      <c r="E34" s="140"/>
    </row>
    <row r="35" spans="1:5" ht="12.75">
      <c r="A35" s="258" t="s">
        <v>59</v>
      </c>
      <c r="B35" s="140"/>
      <c r="C35" s="140"/>
      <c r="D35" s="140"/>
      <c r="E35" s="140"/>
    </row>
    <row r="36" spans="1:5" ht="12.75">
      <c r="A36" s="126" t="s">
        <v>53</v>
      </c>
      <c r="B36" s="167"/>
      <c r="C36" s="167"/>
      <c r="D36" s="167"/>
      <c r="E36" s="140"/>
    </row>
    <row r="37" spans="1:5" ht="12.75">
      <c r="A37" s="126" t="s">
        <v>54</v>
      </c>
      <c r="B37" s="96">
        <f>B10*B13*B21*B18*B29*Tariff!B51</f>
        <v>442885.06463267765</v>
      </c>
      <c r="C37" s="96">
        <f>C10*C13*C21*C18*C29*Tariff!C51</f>
        <v>738141.7743877961</v>
      </c>
      <c r="D37" s="96">
        <f>D10*D13*D21*D18*D29*Tariff!D51</f>
        <v>1033398.4841429145</v>
      </c>
      <c r="E37" s="140"/>
    </row>
    <row r="38" spans="1:5" ht="12.75">
      <c r="A38" s="126" t="s">
        <v>55</v>
      </c>
      <c r="B38" s="96">
        <f>B11*B13*B18*B21*B29*Tariff!B52</f>
        <v>327131.01364913693</v>
      </c>
      <c r="C38" s="96">
        <f>C11*C13*C18*C21*C29*Tariff!C52</f>
        <v>545218.3560818948</v>
      </c>
      <c r="D38" s="96">
        <f>D11*D13*D18*D21*D29*Tariff!D52</f>
        <v>763305.6985146527</v>
      </c>
      <c r="E38" s="140"/>
    </row>
    <row r="39" spans="1:5" ht="12.75">
      <c r="A39" s="259" t="s">
        <v>60</v>
      </c>
      <c r="B39" s="140"/>
      <c r="C39" s="140"/>
      <c r="D39" s="140"/>
      <c r="E39" s="140"/>
    </row>
    <row r="40" spans="1:5" ht="12.75">
      <c r="A40" s="126" t="s">
        <v>53</v>
      </c>
      <c r="B40" s="167"/>
      <c r="C40" s="167"/>
      <c r="D40" s="167"/>
      <c r="E40" s="140"/>
    </row>
    <row r="41" spans="1:5" ht="12.75">
      <c r="A41" s="126" t="s">
        <v>54</v>
      </c>
      <c r="B41" s="96">
        <f>B10*B13*B18*B22*B29*Tariff!B56</f>
        <v>24604.725812926536</v>
      </c>
      <c r="C41" s="96">
        <f>C10*C13*C18*C22*C29*Tariff!C56</f>
        <v>41007.87635487756</v>
      </c>
      <c r="D41" s="96">
        <f>D10*D13*D18*D22*D29*Tariff!D56</f>
        <v>57411.02689682859</v>
      </c>
      <c r="E41" s="140"/>
    </row>
    <row r="42" spans="1:5" ht="12.75">
      <c r="A42" s="126" t="s">
        <v>55</v>
      </c>
      <c r="B42" s="96">
        <f>B11*B13*B18*B22*B29*Tariff!B57</f>
        <v>18173.945202729825</v>
      </c>
      <c r="C42" s="96">
        <f>C11*C13*C18*C22*C29*Tariff!C57</f>
        <v>30289.908671216377</v>
      </c>
      <c r="D42" s="96">
        <f>D11*D13*D18*D22*D29*Tariff!D57</f>
        <v>42405.87213970294</v>
      </c>
      <c r="E42" s="140"/>
    </row>
    <row r="43" spans="1:5" ht="12.75">
      <c r="A43" s="260" t="s">
        <v>167</v>
      </c>
      <c r="B43" s="94">
        <f>SUM(B36:B42)</f>
        <v>812794.7492974709</v>
      </c>
      <c r="C43" s="94">
        <f>SUM(C36:C42)</f>
        <v>1354657.915495785</v>
      </c>
      <c r="D43" s="94">
        <f>SUM(D36:D42)</f>
        <v>1896521.081694099</v>
      </c>
      <c r="E43" s="140"/>
    </row>
    <row r="44" spans="1:5" ht="12.75">
      <c r="A44" s="258"/>
      <c r="B44" s="140"/>
      <c r="C44" s="140"/>
      <c r="D44" s="140"/>
      <c r="E44" s="140"/>
    </row>
    <row r="45" spans="1:5" ht="12.75">
      <c r="A45" s="261" t="s">
        <v>65</v>
      </c>
      <c r="B45" s="140"/>
      <c r="C45" s="140"/>
      <c r="D45" s="140"/>
      <c r="E45" s="140"/>
    </row>
    <row r="46" spans="1:5" ht="12.75">
      <c r="A46" s="259" t="s">
        <v>164</v>
      </c>
      <c r="B46" s="94">
        <f>B27*B29*30</f>
        <v>121905.23243677238</v>
      </c>
      <c r="C46" s="94">
        <f>C27*C29*30</f>
        <v>203175.38739462063</v>
      </c>
      <c r="D46" s="94">
        <f>D27*D29*30</f>
        <v>284445.5423524689</v>
      </c>
      <c r="E46" s="140"/>
    </row>
    <row r="47" spans="1:5" ht="12.75">
      <c r="A47" s="258" t="s">
        <v>163</v>
      </c>
      <c r="B47" s="94">
        <f>B27*B29*5</f>
        <v>20317.538739462063</v>
      </c>
      <c r="C47" s="94">
        <f>C27*C29*5</f>
        <v>33862.5645657701</v>
      </c>
      <c r="D47" s="94">
        <f>D27*D29*5</f>
        <v>47407.59039207814</v>
      </c>
      <c r="E47" s="140"/>
    </row>
    <row r="48" spans="1:5" ht="12.75">
      <c r="A48" s="258" t="s">
        <v>57</v>
      </c>
      <c r="B48" s="94">
        <f>B27*10</f>
        <v>22236</v>
      </c>
      <c r="C48" s="94">
        <f>C27*10</f>
        <v>37060</v>
      </c>
      <c r="D48" s="94">
        <f>D27*10</f>
        <v>51884</v>
      </c>
      <c r="E48" s="140"/>
    </row>
    <row r="49" spans="1:5" ht="12.75">
      <c r="A49" s="260" t="s">
        <v>58</v>
      </c>
      <c r="B49" s="94">
        <f>SUM(B46:B48)</f>
        <v>164458.77117623444</v>
      </c>
      <c r="C49" s="94">
        <f>SUM(C46:C48)</f>
        <v>274097.9519603907</v>
      </c>
      <c r="D49" s="94">
        <f>SUM(D46:D48)</f>
        <v>383737.13274454704</v>
      </c>
      <c r="E49" s="140"/>
    </row>
    <row r="50" spans="1:5" ht="12.75">
      <c r="A50" s="258"/>
      <c r="B50" s="140"/>
      <c r="C50" s="140"/>
      <c r="D50" s="140"/>
      <c r="E50" s="140"/>
    </row>
    <row r="51" spans="1:5" ht="12.75">
      <c r="A51" s="178" t="s">
        <v>102</v>
      </c>
      <c r="B51" s="110">
        <f>B43+B49</f>
        <v>977253.5204737054</v>
      </c>
      <c r="C51" s="110">
        <f>C43+C49</f>
        <v>1628755.8674561756</v>
      </c>
      <c r="D51" s="110">
        <f>D43+D49</f>
        <v>2280258.214438646</v>
      </c>
      <c r="E51" s="5"/>
    </row>
    <row r="52" spans="1:2" ht="15.75">
      <c r="A52" s="249" t="s">
        <v>71</v>
      </c>
      <c r="B52" s="3" t="s">
        <v>254</v>
      </c>
    </row>
    <row r="53" spans="1:4" ht="15.75">
      <c r="A53" s="248" t="s">
        <v>0</v>
      </c>
      <c r="B53" s="73" t="s">
        <v>8</v>
      </c>
      <c r="C53" s="73" t="s">
        <v>265</v>
      </c>
      <c r="D53" s="73" t="s">
        <v>9</v>
      </c>
    </row>
    <row r="55" ht="12.75">
      <c r="A55" s="251" t="s">
        <v>73</v>
      </c>
    </row>
    <row r="56" spans="1:5" ht="12.75">
      <c r="A56" s="126" t="s">
        <v>95</v>
      </c>
      <c r="B56" s="139">
        <f>'Service Assumptions'!C149</f>
        <v>15</v>
      </c>
      <c r="C56" s="139">
        <f>'Service Assumptions'!D149</f>
        <v>15</v>
      </c>
      <c r="D56" s="139">
        <f>'Service Assumptions'!E149</f>
        <v>15</v>
      </c>
      <c r="E56" s="5"/>
    </row>
    <row r="57" spans="1:5" ht="12.75">
      <c r="A57" s="126" t="s">
        <v>96</v>
      </c>
      <c r="B57" s="139">
        <f>'Service Assumptions'!C150</f>
        <v>10</v>
      </c>
      <c r="C57" s="139">
        <f>'Service Assumptions'!D150</f>
        <v>10</v>
      </c>
      <c r="D57" s="139">
        <f>'Service Assumptions'!E150</f>
        <v>10</v>
      </c>
      <c r="E57" s="5"/>
    </row>
    <row r="58" spans="1:5" ht="12.75">
      <c r="A58" s="126" t="s">
        <v>97</v>
      </c>
      <c r="B58" s="139"/>
      <c r="C58" s="139"/>
      <c r="D58" s="139"/>
      <c r="E58" s="5"/>
    </row>
    <row r="59" spans="1:5" ht="12.75">
      <c r="A59" s="126" t="s">
        <v>68</v>
      </c>
      <c r="B59" s="139">
        <f>SUM(B56:B58)</f>
        <v>25</v>
      </c>
      <c r="C59" s="139">
        <f>SUM(C56:C58)</f>
        <v>25</v>
      </c>
      <c r="D59" s="139">
        <f>SUM(D56:D58)</f>
        <v>25</v>
      </c>
      <c r="E59" s="5"/>
    </row>
    <row r="60" spans="2:5" ht="12.75">
      <c r="B60" s="5"/>
      <c r="C60" s="5"/>
      <c r="D60" s="5"/>
      <c r="E60" s="5"/>
    </row>
    <row r="61" spans="1:5" ht="12.75">
      <c r="A61" s="251" t="s">
        <v>47</v>
      </c>
      <c r="B61" s="139">
        <f>'Service Assumptions'!D15*34*2</f>
        <v>68</v>
      </c>
      <c r="C61" s="139">
        <f>'Service Assumptions'!E15*34*2</f>
        <v>68</v>
      </c>
      <c r="D61" s="139">
        <f>'Service Assumptions'!F15*34*2</f>
        <v>68</v>
      </c>
      <c r="E61" s="5"/>
    </row>
    <row r="62" spans="2:5" ht="12.75">
      <c r="B62" s="5"/>
      <c r="C62" s="5"/>
      <c r="D62" s="5"/>
      <c r="E62" s="5"/>
    </row>
    <row r="63" spans="1:5" ht="12.75">
      <c r="A63" s="251" t="s">
        <v>43</v>
      </c>
      <c r="B63" s="164">
        <f>B59*B61</f>
        <v>1700</v>
      </c>
      <c r="C63" s="164">
        <f>C59*C61</f>
        <v>1700</v>
      </c>
      <c r="D63" s="164">
        <f>D59*D61</f>
        <v>1700</v>
      </c>
      <c r="E63" s="5"/>
    </row>
    <row r="64" spans="2:5" ht="12.75">
      <c r="B64" s="5"/>
      <c r="C64" s="5"/>
      <c r="D64" s="5"/>
      <c r="E64" s="5"/>
    </row>
    <row r="65" spans="1:5" ht="12.75">
      <c r="A65" s="254" t="s">
        <v>44</v>
      </c>
      <c r="B65" s="165">
        <v>0.3</v>
      </c>
      <c r="C65" s="165">
        <v>0.5</v>
      </c>
      <c r="D65" s="165">
        <v>0.7</v>
      </c>
      <c r="E65" s="5"/>
    </row>
    <row r="66" spans="2:5" ht="12.75">
      <c r="B66" s="5"/>
      <c r="C66" s="5"/>
      <c r="D66" s="5"/>
      <c r="E66" s="5"/>
    </row>
    <row r="67" spans="1:5" ht="12.75">
      <c r="A67" s="254" t="s">
        <v>69</v>
      </c>
      <c r="B67" s="5"/>
      <c r="C67" s="5"/>
      <c r="D67" s="5"/>
      <c r="E67" s="5"/>
    </row>
    <row r="68" spans="1:5" ht="12.75">
      <c r="A68" s="126" t="s">
        <v>95</v>
      </c>
      <c r="B68" s="139">
        <f>B56*B61*B65</f>
        <v>306</v>
      </c>
      <c r="C68" s="174">
        <f>C56*C61*C65</f>
        <v>510</v>
      </c>
      <c r="D68" s="174">
        <f>D56*D61*D65</f>
        <v>714</v>
      </c>
      <c r="E68" s="5"/>
    </row>
    <row r="69" spans="1:5" ht="12.75">
      <c r="A69" s="126" t="s">
        <v>96</v>
      </c>
      <c r="B69" s="139">
        <f>B57*B61*B65</f>
        <v>204</v>
      </c>
      <c r="C69" s="174">
        <f>C57*C61*C65</f>
        <v>340</v>
      </c>
      <c r="D69" s="174">
        <f>D57*D61*D65</f>
        <v>475.99999999999994</v>
      </c>
      <c r="E69" s="5"/>
    </row>
    <row r="70" spans="1:5" ht="12.75">
      <c r="A70" s="126" t="s">
        <v>97</v>
      </c>
      <c r="B70" s="139"/>
      <c r="C70" s="174"/>
      <c r="D70" s="174"/>
      <c r="E70" s="5"/>
    </row>
    <row r="71" spans="1:5" ht="12.75">
      <c r="A71" s="126" t="s">
        <v>68</v>
      </c>
      <c r="B71" s="164">
        <f>SUM(B68:B70)</f>
        <v>510</v>
      </c>
      <c r="C71" s="164">
        <f>SUM(C68:C70)</f>
        <v>850</v>
      </c>
      <c r="D71" s="164">
        <f>SUM(D68:D70)</f>
        <v>1190</v>
      </c>
      <c r="E71" s="5"/>
    </row>
    <row r="72" spans="1:5" ht="12.75">
      <c r="A72" s="252"/>
      <c r="B72" s="5"/>
      <c r="C72" s="5"/>
      <c r="D72" s="5"/>
      <c r="E72" s="5"/>
    </row>
    <row r="73" spans="1:5" ht="12.75">
      <c r="A73" s="255" t="s">
        <v>63</v>
      </c>
      <c r="B73" s="5"/>
      <c r="C73" s="5"/>
      <c r="D73" s="5"/>
      <c r="E73" s="5"/>
    </row>
    <row r="74" spans="1:5" ht="12.75">
      <c r="A74" s="252" t="s">
        <v>137</v>
      </c>
      <c r="B74" s="166">
        <f>'Service Assumptions'!B59</f>
        <v>1.8274454703599625</v>
      </c>
      <c r="C74" s="166">
        <f>'Service Assumptions'!B59</f>
        <v>1.8274454703599625</v>
      </c>
      <c r="D74" s="166">
        <f>'Service Assumptions'!B59</f>
        <v>1.8274454703599625</v>
      </c>
      <c r="E74" s="5"/>
    </row>
    <row r="75" spans="1:5" ht="12.75">
      <c r="A75" s="252"/>
      <c r="B75" s="5"/>
      <c r="C75" s="5"/>
      <c r="D75" s="5"/>
      <c r="E75" s="5"/>
    </row>
    <row r="76" spans="1:5" ht="12.75">
      <c r="A76" s="254" t="s">
        <v>99</v>
      </c>
      <c r="B76" s="164">
        <f>'Service Assumptions'!B38</f>
        <v>1690</v>
      </c>
      <c r="C76" s="164">
        <f>'Service Assumptions'!B38</f>
        <v>1690</v>
      </c>
      <c r="D76" s="164">
        <f>'Service Assumptions'!B38</f>
        <v>1690</v>
      </c>
      <c r="E76" s="5"/>
    </row>
    <row r="77" spans="2:5" ht="12.75">
      <c r="B77" s="5"/>
      <c r="C77" s="5"/>
      <c r="D77" s="5"/>
      <c r="E77" s="5"/>
    </row>
    <row r="78" spans="2:5" ht="12.75">
      <c r="B78" s="5"/>
      <c r="C78" s="5"/>
      <c r="D78" s="5"/>
      <c r="E78" s="5"/>
    </row>
    <row r="79" spans="1:5" ht="15.75">
      <c r="A79" s="256" t="s">
        <v>64</v>
      </c>
      <c r="B79" s="5"/>
      <c r="C79" s="5"/>
      <c r="D79" s="5"/>
      <c r="E79" s="5"/>
    </row>
    <row r="80" spans="1:5" ht="12.75">
      <c r="A80" s="257" t="s">
        <v>71</v>
      </c>
      <c r="B80" s="5"/>
      <c r="C80" s="5"/>
      <c r="D80" s="5"/>
      <c r="E80" s="5"/>
    </row>
    <row r="81" spans="1:5" ht="12.75">
      <c r="A81" s="126" t="s">
        <v>95</v>
      </c>
      <c r="B81" s="94">
        <f>B68*B76*Tariff!B60</f>
        <v>180999</v>
      </c>
      <c r="C81" s="94">
        <f>C68*C76*Tariff!C60</f>
        <v>301665</v>
      </c>
      <c r="D81" s="94">
        <f>D68*D76*Tariff!D60</f>
        <v>422331</v>
      </c>
      <c r="E81" s="5"/>
    </row>
    <row r="82" spans="1:5" ht="12.75">
      <c r="A82" s="126" t="s">
        <v>96</v>
      </c>
      <c r="B82" s="94">
        <f>B69*B76*Tariff!B61</f>
        <v>155142</v>
      </c>
      <c r="C82" s="94">
        <f>C69*C76*Tariff!C61</f>
        <v>258570</v>
      </c>
      <c r="D82" s="94">
        <f>D69*D76*Tariff!D61</f>
        <v>361997.99999999994</v>
      </c>
      <c r="E82" s="5"/>
    </row>
    <row r="83" spans="1:5" ht="12.75">
      <c r="A83" s="126" t="s">
        <v>97</v>
      </c>
      <c r="B83" s="94"/>
      <c r="C83" s="94"/>
      <c r="D83" s="94"/>
      <c r="E83" s="5"/>
    </row>
    <row r="84" spans="1:5" ht="12.75">
      <c r="A84" s="178" t="s">
        <v>103</v>
      </c>
      <c r="B84" s="110">
        <f>SUM(B81:B83)</f>
        <v>336141</v>
      </c>
      <c r="C84" s="110">
        <f>SUM(C81:C83)</f>
        <v>560235</v>
      </c>
      <c r="D84" s="110">
        <f>SUM(D81:D83)</f>
        <v>784329</v>
      </c>
      <c r="E84" s="5"/>
    </row>
    <row r="85" spans="1:5" ht="12.75">
      <c r="A85" s="258"/>
      <c r="B85" s="5"/>
      <c r="C85" s="5"/>
      <c r="D85" s="5"/>
      <c r="E85" s="5"/>
    </row>
    <row r="86" spans="2:5" ht="12.75">
      <c r="B86" s="5"/>
      <c r="C86" s="5"/>
      <c r="D86" s="5"/>
      <c r="E86" s="5"/>
    </row>
    <row r="87" spans="1:5" ht="15.75">
      <c r="A87" s="249" t="s">
        <v>120</v>
      </c>
      <c r="B87" s="5"/>
      <c r="C87" s="5"/>
      <c r="D87" s="5"/>
      <c r="E87" s="5"/>
    </row>
    <row r="88" spans="2:5" ht="12.75">
      <c r="B88" s="5"/>
      <c r="C88" s="5"/>
      <c r="D88" s="5"/>
      <c r="E88" s="5"/>
    </row>
    <row r="89" spans="1:5" ht="12.75">
      <c r="A89" s="4" t="s">
        <v>70</v>
      </c>
      <c r="B89" s="168">
        <f>B51</f>
        <v>977253.5204737054</v>
      </c>
      <c r="C89" s="168">
        <f>C51</f>
        <v>1628755.8674561756</v>
      </c>
      <c r="D89" s="168">
        <f>D51</f>
        <v>2280258.214438646</v>
      </c>
      <c r="E89" s="169"/>
    </row>
    <row r="90" spans="2:5" ht="12.75">
      <c r="B90" s="170"/>
      <c r="C90" s="170"/>
      <c r="D90" s="170"/>
      <c r="E90" s="169"/>
    </row>
    <row r="91" spans="1:5" ht="12.75">
      <c r="A91" s="4" t="s">
        <v>71</v>
      </c>
      <c r="B91" s="168">
        <f>B84</f>
        <v>336141</v>
      </c>
      <c r="C91" s="168">
        <f>C84</f>
        <v>560235</v>
      </c>
      <c r="D91" s="168">
        <f>D84</f>
        <v>784329</v>
      </c>
      <c r="E91" s="172"/>
    </row>
    <row r="92" spans="1:5" ht="12.75">
      <c r="A92" s="4"/>
      <c r="B92" s="171"/>
      <c r="C92" s="171"/>
      <c r="D92" s="171"/>
      <c r="E92" s="172"/>
    </row>
    <row r="93" spans="1:5" ht="12.75">
      <c r="A93" s="4" t="s">
        <v>72</v>
      </c>
      <c r="B93" s="168">
        <f>B89+B91</f>
        <v>1313394.5204737054</v>
      </c>
      <c r="C93" s="168">
        <f>C89+C91</f>
        <v>2188990.8674561754</v>
      </c>
      <c r="D93" s="168">
        <f>D89+D91</f>
        <v>3064587.214438646</v>
      </c>
      <c r="E93" s="173"/>
    </row>
    <row r="94" spans="2:5" ht="12.75">
      <c r="B94" s="5"/>
      <c r="C94" s="5"/>
      <c r="D94" s="5"/>
      <c r="E94" s="5"/>
    </row>
    <row r="95" spans="2:5" ht="12.75">
      <c r="B95" s="5"/>
      <c r="C95" s="5"/>
      <c r="D95" s="5"/>
      <c r="E95" s="5"/>
    </row>
    <row r="96" spans="2:5" ht="12.75">
      <c r="B96" s="5"/>
      <c r="C96" s="5"/>
      <c r="D96" s="5"/>
      <c r="E96" s="5"/>
    </row>
    <row r="97" spans="2:5" ht="12.75">
      <c r="B97" s="5"/>
      <c r="C97" s="5"/>
      <c r="D97" s="5"/>
      <c r="E97" s="5"/>
    </row>
    <row r="98" spans="2:5" ht="12.75">
      <c r="B98" s="5"/>
      <c r="C98" s="5"/>
      <c r="D98" s="5"/>
      <c r="E98" s="5"/>
    </row>
    <row r="99" spans="2:5" ht="12.75">
      <c r="B99" s="5"/>
      <c r="C99" s="5"/>
      <c r="D99" s="5"/>
      <c r="E99" s="5"/>
    </row>
    <row r="100" spans="2:5" ht="12.75">
      <c r="B100" s="5"/>
      <c r="C100" s="5"/>
      <c r="D100" s="5"/>
      <c r="E100" s="5"/>
    </row>
    <row r="101" spans="2:5" ht="12.75">
      <c r="B101" s="5"/>
      <c r="C101" s="5"/>
      <c r="D101" s="5"/>
      <c r="E101" s="5"/>
    </row>
    <row r="102" spans="2:5" ht="12.75">
      <c r="B102" s="5"/>
      <c r="C102" s="5"/>
      <c r="D102" s="5"/>
      <c r="E102" s="5"/>
    </row>
    <row r="103" spans="2:5" ht="12.75">
      <c r="B103" s="5"/>
      <c r="C103" s="5"/>
      <c r="D103" s="5"/>
      <c r="E103" s="5"/>
    </row>
    <row r="104" spans="2:5" ht="12.75">
      <c r="B104" s="5"/>
      <c r="C104" s="5"/>
      <c r="D104" s="5"/>
      <c r="E104" s="5"/>
    </row>
    <row r="105" spans="2:5" ht="12.75">
      <c r="B105" s="5"/>
      <c r="C105" s="5"/>
      <c r="D105" s="5"/>
      <c r="E105" s="5"/>
    </row>
    <row r="106" spans="2:5" ht="12.75">
      <c r="B106" s="5"/>
      <c r="C106" s="5"/>
      <c r="D106" s="5"/>
      <c r="E106" s="5"/>
    </row>
    <row r="107" spans="2:5" ht="12.75">
      <c r="B107" s="5"/>
      <c r="C107" s="5"/>
      <c r="D107" s="5"/>
      <c r="E107" s="5"/>
    </row>
    <row r="108" spans="2:5" ht="12.75">
      <c r="B108" s="5"/>
      <c r="C108" s="5"/>
      <c r="D108" s="5"/>
      <c r="E108" s="5"/>
    </row>
    <row r="109" spans="2:5" ht="12.75">
      <c r="B109" s="5"/>
      <c r="C109" s="5"/>
      <c r="D109" s="5"/>
      <c r="E109" s="5"/>
    </row>
    <row r="110" spans="2:5" ht="12.75">
      <c r="B110" s="5"/>
      <c r="C110" s="5"/>
      <c r="D110" s="5"/>
      <c r="E110" s="5"/>
    </row>
    <row r="111" spans="2:5" ht="12.75">
      <c r="B111" s="5"/>
      <c r="C111" s="5"/>
      <c r="D111" s="5"/>
      <c r="E111" s="5"/>
    </row>
    <row r="112" spans="2:5" ht="12.75">
      <c r="B112" s="5"/>
      <c r="C112" s="5"/>
      <c r="D112" s="5"/>
      <c r="E112" s="5"/>
    </row>
    <row r="113" spans="2:5" ht="12.75">
      <c r="B113" s="5"/>
      <c r="C113" s="5"/>
      <c r="D113" s="5"/>
      <c r="E113" s="5"/>
    </row>
    <row r="114" spans="2:5" ht="12.75">
      <c r="B114" s="5"/>
      <c r="C114" s="5"/>
      <c r="D114" s="5"/>
      <c r="E114" s="5"/>
    </row>
    <row r="115" spans="2:5" ht="12.75">
      <c r="B115" s="5"/>
      <c r="C115" s="5"/>
      <c r="D115" s="5"/>
      <c r="E115" s="5"/>
    </row>
    <row r="116" spans="2:5" ht="12.75">
      <c r="B116" s="5"/>
      <c r="C116" s="5"/>
      <c r="D116" s="5"/>
      <c r="E116" s="5"/>
    </row>
    <row r="117" spans="2:5" ht="12.75">
      <c r="B117" s="5"/>
      <c r="C117" s="5"/>
      <c r="D117" s="5"/>
      <c r="E117" s="5"/>
    </row>
    <row r="118" spans="2:5" ht="12.75">
      <c r="B118" s="5"/>
      <c r="C118" s="5"/>
      <c r="D118" s="5"/>
      <c r="E118" s="5"/>
    </row>
    <row r="119" spans="2:5" ht="12.75">
      <c r="B119" s="5"/>
      <c r="C119" s="5"/>
      <c r="D119" s="5"/>
      <c r="E119" s="5"/>
    </row>
    <row r="120" spans="2:5" ht="12.75">
      <c r="B120" s="5"/>
      <c r="C120" s="5"/>
      <c r="D120" s="5"/>
      <c r="E120" s="5"/>
    </row>
    <row r="121" spans="2:5" ht="12.75">
      <c r="B121" s="5"/>
      <c r="C121" s="5"/>
      <c r="D121" s="5"/>
      <c r="E121" s="5"/>
    </row>
    <row r="122" spans="2:5" ht="12.75">
      <c r="B122" s="5"/>
      <c r="C122" s="5"/>
      <c r="D122" s="5"/>
      <c r="E122" s="5"/>
    </row>
    <row r="123" spans="2:5" ht="12.75">
      <c r="B123" s="5"/>
      <c r="C123" s="5"/>
      <c r="D123" s="5"/>
      <c r="E123" s="5"/>
    </row>
    <row r="124" spans="2:5" ht="12.75">
      <c r="B124" s="5"/>
      <c r="C124" s="5"/>
      <c r="D124" s="5"/>
      <c r="E124" s="5"/>
    </row>
    <row r="125" spans="2:5" ht="12.75">
      <c r="B125" s="5"/>
      <c r="C125" s="5"/>
      <c r="D125" s="5"/>
      <c r="E125" s="5"/>
    </row>
    <row r="126" spans="2:5" ht="12.75">
      <c r="B126" s="5"/>
      <c r="C126" s="5"/>
      <c r="D126" s="5"/>
      <c r="E126" s="5"/>
    </row>
    <row r="127" spans="2:5" ht="12.75">
      <c r="B127" s="5"/>
      <c r="C127" s="5"/>
      <c r="D127" s="5"/>
      <c r="E127" s="5"/>
    </row>
    <row r="128" spans="2:5" ht="12.75">
      <c r="B128" s="5"/>
      <c r="C128" s="5"/>
      <c r="D128" s="5"/>
      <c r="E128" s="5"/>
    </row>
    <row r="129" spans="2:5" ht="12.75">
      <c r="B129" s="5"/>
      <c r="C129" s="5"/>
      <c r="D129" s="5"/>
      <c r="E129" s="5"/>
    </row>
    <row r="130" spans="2:5" ht="12.75">
      <c r="B130" s="5"/>
      <c r="C130" s="5"/>
      <c r="D130" s="5"/>
      <c r="E130" s="5"/>
    </row>
    <row r="131" spans="2:5" ht="12.75">
      <c r="B131" s="5"/>
      <c r="C131" s="5"/>
      <c r="D131" s="5"/>
      <c r="E131" s="5"/>
    </row>
    <row r="132" spans="2:5" ht="12.75">
      <c r="B132" s="5"/>
      <c r="C132" s="5"/>
      <c r="D132" s="5"/>
      <c r="E132" s="5"/>
    </row>
    <row r="133" spans="2:5" ht="12.75">
      <c r="B133" s="5"/>
      <c r="C133" s="5"/>
      <c r="D133" s="5"/>
      <c r="E133" s="5"/>
    </row>
    <row r="134" spans="2:5" ht="12.75">
      <c r="B134" s="5"/>
      <c r="C134" s="5"/>
      <c r="D134" s="5"/>
      <c r="E134" s="5"/>
    </row>
    <row r="135" spans="2:5" ht="12.75">
      <c r="B135" s="5"/>
      <c r="C135" s="5"/>
      <c r="D135" s="5"/>
      <c r="E135" s="5"/>
    </row>
    <row r="136" spans="2:5" ht="12.75">
      <c r="B136" s="5"/>
      <c r="C136" s="5"/>
      <c r="D136" s="5"/>
      <c r="E136" s="5"/>
    </row>
    <row r="137" spans="2:5" ht="12.75">
      <c r="B137" s="5"/>
      <c r="C137" s="5"/>
      <c r="D137" s="5"/>
      <c r="E137" s="5"/>
    </row>
    <row r="138" spans="2:5" ht="12.75">
      <c r="B138" s="5"/>
      <c r="C138" s="5"/>
      <c r="D138" s="5"/>
      <c r="E138" s="5"/>
    </row>
    <row r="139" spans="2:5" ht="12.75">
      <c r="B139" s="5"/>
      <c r="C139" s="5"/>
      <c r="D139" s="5"/>
      <c r="E139" s="5"/>
    </row>
    <row r="140" spans="2:5" ht="12.75">
      <c r="B140" s="5"/>
      <c r="C140" s="5"/>
      <c r="D140" s="5"/>
      <c r="E140" s="5"/>
    </row>
    <row r="141" spans="2:5" ht="12.75">
      <c r="B141" s="5"/>
      <c r="C141" s="5"/>
      <c r="D141" s="5"/>
      <c r="E141" s="5"/>
    </row>
    <row r="142" spans="2:5" ht="12.75">
      <c r="B142" s="5"/>
      <c r="C142" s="5"/>
      <c r="D142" s="5"/>
      <c r="E142" s="5"/>
    </row>
    <row r="143" spans="2:5" ht="12.75">
      <c r="B143" s="5"/>
      <c r="C143" s="5"/>
      <c r="D143" s="5"/>
      <c r="E143" s="5"/>
    </row>
    <row r="144" spans="2:5" ht="12.75">
      <c r="B144" s="5"/>
      <c r="C144" s="5"/>
      <c r="D144" s="5"/>
      <c r="E144" s="5"/>
    </row>
    <row r="145" spans="2:5" ht="12.75">
      <c r="B145" s="5"/>
      <c r="C145" s="5"/>
      <c r="D145" s="5"/>
      <c r="E145" s="5"/>
    </row>
    <row r="146" spans="2:5" ht="12.75">
      <c r="B146" s="5"/>
      <c r="C146" s="5"/>
      <c r="D146" s="5"/>
      <c r="E146" s="5"/>
    </row>
    <row r="147" spans="2:5" ht="12.75">
      <c r="B147" s="5"/>
      <c r="C147" s="5"/>
      <c r="D147" s="5"/>
      <c r="E147" s="5"/>
    </row>
    <row r="148" spans="2:5" ht="12.75">
      <c r="B148" s="5"/>
      <c r="C148" s="5"/>
      <c r="D148" s="5"/>
      <c r="E148" s="5"/>
    </row>
    <row r="149" spans="2:5" ht="12.75">
      <c r="B149" s="5"/>
      <c r="C149" s="5"/>
      <c r="D149" s="5"/>
      <c r="E149" s="5"/>
    </row>
    <row r="150" spans="2:5" ht="12.75">
      <c r="B150" s="5"/>
      <c r="C150" s="5"/>
      <c r="D150" s="5"/>
      <c r="E150" s="5"/>
    </row>
    <row r="151" spans="2:5" ht="12.75">
      <c r="B151" s="5"/>
      <c r="C151" s="5"/>
      <c r="D151" s="5"/>
      <c r="E151" s="5"/>
    </row>
    <row r="152" spans="2:5" ht="12.75">
      <c r="B152" s="5"/>
      <c r="C152" s="5"/>
      <c r="D152" s="5"/>
      <c r="E152" s="5"/>
    </row>
    <row r="153" spans="2:5" ht="12.75">
      <c r="B153" s="5"/>
      <c r="C153" s="5"/>
      <c r="D153" s="5"/>
      <c r="E153" s="5"/>
    </row>
    <row r="154" spans="2:5" ht="12.75">
      <c r="B154" s="5"/>
      <c r="C154" s="5"/>
      <c r="D154" s="5"/>
      <c r="E154" s="5"/>
    </row>
    <row r="155" spans="2:5" ht="12.75">
      <c r="B155" s="5"/>
      <c r="C155" s="5"/>
      <c r="D155" s="5"/>
      <c r="E155" s="5"/>
    </row>
    <row r="156" spans="2:5" ht="12.75">
      <c r="B156" s="5"/>
      <c r="C156" s="5"/>
      <c r="D156" s="5"/>
      <c r="E156" s="5"/>
    </row>
    <row r="157" spans="2:5" ht="12.75">
      <c r="B157" s="5"/>
      <c r="C157" s="5"/>
      <c r="D157" s="5"/>
      <c r="E157" s="5"/>
    </row>
    <row r="158" spans="2:5" ht="12.75">
      <c r="B158" s="5"/>
      <c r="C158" s="5"/>
      <c r="D158" s="5"/>
      <c r="E158" s="5"/>
    </row>
    <row r="159" spans="2:5" ht="12.75">
      <c r="B159" s="5"/>
      <c r="C159" s="5"/>
      <c r="D159" s="5"/>
      <c r="E159" s="5"/>
    </row>
    <row r="160" spans="2:5" ht="12.75">
      <c r="B160" s="5"/>
      <c r="C160" s="5"/>
      <c r="D160" s="5"/>
      <c r="E160" s="5"/>
    </row>
    <row r="161" spans="2:5" ht="12.75">
      <c r="B161" s="5"/>
      <c r="C161" s="5"/>
      <c r="D161" s="5"/>
      <c r="E161" s="5"/>
    </row>
    <row r="162" spans="2:5" ht="12.75">
      <c r="B162" s="5"/>
      <c r="C162" s="5"/>
      <c r="D162" s="5"/>
      <c r="E162" s="5"/>
    </row>
    <row r="163" spans="2:5" ht="12.75">
      <c r="B163" s="5"/>
      <c r="C163" s="5"/>
      <c r="D163" s="5"/>
      <c r="E163" s="5"/>
    </row>
    <row r="164" spans="2:5" ht="12.75">
      <c r="B164" s="5"/>
      <c r="C164" s="5"/>
      <c r="D164" s="5"/>
      <c r="E164" s="5"/>
    </row>
    <row r="165" spans="2:5" ht="12.75">
      <c r="B165" s="5"/>
      <c r="C165" s="5"/>
      <c r="D165" s="5"/>
      <c r="E165" s="5"/>
    </row>
    <row r="166" spans="2:5" ht="12.75">
      <c r="B166" s="5"/>
      <c r="C166" s="5"/>
      <c r="D166" s="5"/>
      <c r="E166" s="5"/>
    </row>
    <row r="167" spans="2:5" ht="12.75">
      <c r="B167" s="5"/>
      <c r="C167" s="5"/>
      <c r="D167" s="5"/>
      <c r="E167" s="5"/>
    </row>
    <row r="168" spans="2:5" ht="12.75">
      <c r="B168" s="5"/>
      <c r="C168" s="5"/>
      <c r="D168" s="5"/>
      <c r="E168" s="5"/>
    </row>
    <row r="169" spans="2:5" ht="12.75">
      <c r="B169" s="5"/>
      <c r="C169" s="5"/>
      <c r="D169" s="5"/>
      <c r="E169" s="5"/>
    </row>
    <row r="170" spans="2:5" ht="12.75">
      <c r="B170" s="5"/>
      <c r="C170" s="5"/>
      <c r="D170" s="5"/>
      <c r="E170" s="5"/>
    </row>
    <row r="171" spans="2:5" ht="12.75">
      <c r="B171" s="5"/>
      <c r="C171" s="5"/>
      <c r="D171" s="5"/>
      <c r="E171" s="5"/>
    </row>
    <row r="172" spans="2:5" ht="12.75">
      <c r="B172" s="5"/>
      <c r="C172" s="5"/>
      <c r="D172" s="5"/>
      <c r="E172" s="5"/>
    </row>
    <row r="173" spans="2:5" ht="12.75">
      <c r="B173" s="5"/>
      <c r="C173" s="5"/>
      <c r="D173" s="5"/>
      <c r="E173" s="5"/>
    </row>
    <row r="174" spans="2:5" ht="12.75">
      <c r="B174" s="5"/>
      <c r="C174" s="5"/>
      <c r="D174" s="5"/>
      <c r="E174" s="5"/>
    </row>
    <row r="175" spans="2:5" ht="12.75">
      <c r="B175" s="5"/>
      <c r="C175" s="5"/>
      <c r="D175" s="5"/>
      <c r="E175" s="5"/>
    </row>
    <row r="176" spans="2:5" ht="12.75">
      <c r="B176" s="5"/>
      <c r="C176" s="5"/>
      <c r="D176" s="5"/>
      <c r="E176" s="5"/>
    </row>
    <row r="177" spans="2:5" ht="12.75">
      <c r="B177" s="5"/>
      <c r="C177" s="5"/>
      <c r="D177" s="5"/>
      <c r="E177" s="5"/>
    </row>
    <row r="178" spans="2:5" ht="12.75">
      <c r="B178" s="5"/>
      <c r="C178" s="5"/>
      <c r="D178" s="5"/>
      <c r="E178" s="5"/>
    </row>
    <row r="179" spans="2:5" ht="12.75">
      <c r="B179" s="5"/>
      <c r="C179" s="5"/>
      <c r="D179" s="5"/>
      <c r="E179" s="5"/>
    </row>
    <row r="180" spans="2:5" ht="12.75">
      <c r="B180" s="5"/>
      <c r="C180" s="5"/>
      <c r="D180" s="5"/>
      <c r="E180" s="5"/>
    </row>
    <row r="181" spans="2:5" ht="12.75">
      <c r="B181" s="5"/>
      <c r="C181" s="5"/>
      <c r="D181" s="5"/>
      <c r="E181" s="5"/>
    </row>
    <row r="182" spans="2:5" ht="12.75">
      <c r="B182" s="5"/>
      <c r="C182" s="5"/>
      <c r="D182" s="5"/>
      <c r="E182" s="5"/>
    </row>
    <row r="183" spans="2:5" ht="12.75">
      <c r="B183" s="5"/>
      <c r="C183" s="5"/>
      <c r="D183" s="5"/>
      <c r="E183" s="5"/>
    </row>
    <row r="184" spans="2:5" ht="12.75">
      <c r="B184" s="5"/>
      <c r="C184" s="5"/>
      <c r="D184" s="5"/>
      <c r="E184" s="5"/>
    </row>
    <row r="185" spans="2:5" ht="12.75">
      <c r="B185" s="5"/>
      <c r="C185" s="5"/>
      <c r="D185" s="5"/>
      <c r="E185" s="5"/>
    </row>
    <row r="186" spans="2:5" ht="12.75">
      <c r="B186" s="5"/>
      <c r="C186" s="5"/>
      <c r="D186" s="5"/>
      <c r="E186" s="5"/>
    </row>
    <row r="187" spans="2:5" ht="12.75">
      <c r="B187" s="5"/>
      <c r="C187" s="5"/>
      <c r="D187" s="5"/>
      <c r="E187" s="5"/>
    </row>
    <row r="188" spans="2:5" ht="12.75">
      <c r="B188" s="5"/>
      <c r="C188" s="5"/>
      <c r="D188" s="5"/>
      <c r="E188" s="5"/>
    </row>
    <row r="189" spans="2:5" ht="12.75">
      <c r="B189" s="5"/>
      <c r="C189" s="5"/>
      <c r="D189" s="5"/>
      <c r="E189" s="5"/>
    </row>
    <row r="190" spans="2:5" ht="12.75">
      <c r="B190" s="5"/>
      <c r="C190" s="5"/>
      <c r="D190" s="5"/>
      <c r="E190" s="5"/>
    </row>
    <row r="191" spans="2:5" ht="12.75">
      <c r="B191" s="5"/>
      <c r="C191" s="5"/>
      <c r="D191" s="5"/>
      <c r="E191" s="5"/>
    </row>
    <row r="192" spans="2:5" ht="12.75">
      <c r="B192" s="5"/>
      <c r="C192" s="5"/>
      <c r="D192" s="5"/>
      <c r="E192" s="5"/>
    </row>
    <row r="193" spans="2:5" ht="12.75">
      <c r="B193" s="5"/>
      <c r="C193" s="5"/>
      <c r="D193" s="5"/>
      <c r="E193" s="5"/>
    </row>
    <row r="194" spans="2:5" ht="12.75">
      <c r="B194" s="5"/>
      <c r="C194" s="5"/>
      <c r="D194" s="5"/>
      <c r="E194" s="5"/>
    </row>
    <row r="195" spans="2:5" ht="12.75">
      <c r="B195" s="5"/>
      <c r="C195" s="5"/>
      <c r="D195" s="5"/>
      <c r="E195" s="5"/>
    </row>
    <row r="196" spans="2:5" ht="12.75">
      <c r="B196" s="5"/>
      <c r="C196" s="5"/>
      <c r="D196" s="5"/>
      <c r="E196" s="5"/>
    </row>
    <row r="197" spans="2:5" ht="12.75">
      <c r="B197" s="5"/>
      <c r="C197" s="5"/>
      <c r="D197" s="5"/>
      <c r="E197" s="5"/>
    </row>
    <row r="198" spans="2:5" ht="12.75">
      <c r="B198" s="5"/>
      <c r="C198" s="5"/>
      <c r="D198" s="5"/>
      <c r="E198" s="5"/>
    </row>
    <row r="199" spans="2:5" ht="12.75">
      <c r="B199" s="5"/>
      <c r="C199" s="5"/>
      <c r="D199" s="5"/>
      <c r="E199" s="5"/>
    </row>
    <row r="200" spans="2:5" ht="12.75">
      <c r="B200" s="5"/>
      <c r="C200" s="5"/>
      <c r="D200" s="5"/>
      <c r="E200" s="5"/>
    </row>
    <row r="201" spans="2:5" ht="12.75">
      <c r="B201" s="5"/>
      <c r="C201" s="5"/>
      <c r="D201" s="5"/>
      <c r="E201" s="5"/>
    </row>
    <row r="202" spans="2:5" ht="12.75">
      <c r="B202" s="5"/>
      <c r="C202" s="5"/>
      <c r="D202" s="5"/>
      <c r="E202" s="5"/>
    </row>
    <row r="203" spans="2:5" ht="12.75">
      <c r="B203" s="5"/>
      <c r="C203" s="5"/>
      <c r="D203" s="5"/>
      <c r="E203" s="5"/>
    </row>
    <row r="204" spans="2:5" ht="12.75">
      <c r="B204" s="5"/>
      <c r="C204" s="5"/>
      <c r="D204" s="5"/>
      <c r="E204" s="5"/>
    </row>
    <row r="205" spans="2:5" ht="12.75">
      <c r="B205" s="5"/>
      <c r="C205" s="5"/>
      <c r="D205" s="5"/>
      <c r="E205" s="5"/>
    </row>
    <row r="206" spans="2:5" ht="12.75">
      <c r="B206" s="5"/>
      <c r="C206" s="5"/>
      <c r="D206" s="5"/>
      <c r="E206" s="5"/>
    </row>
    <row r="207" spans="2:5" ht="12.75">
      <c r="B207" s="5"/>
      <c r="C207" s="5"/>
      <c r="D207" s="5"/>
      <c r="E207" s="5"/>
    </row>
    <row r="208" spans="2:5" ht="12.75">
      <c r="B208" s="5"/>
      <c r="C208" s="5"/>
      <c r="D208" s="5"/>
      <c r="E208" s="5"/>
    </row>
    <row r="209" spans="2:5" ht="12.75">
      <c r="B209" s="5"/>
      <c r="C209" s="5"/>
      <c r="D209" s="5"/>
      <c r="E209" s="5"/>
    </row>
    <row r="210" spans="2:5" ht="12.75">
      <c r="B210" s="5"/>
      <c r="C210" s="5"/>
      <c r="D210" s="5"/>
      <c r="E210" s="5"/>
    </row>
    <row r="211" spans="2:5" ht="12.75">
      <c r="B211" s="5"/>
      <c r="C211" s="5"/>
      <c r="D211" s="5"/>
      <c r="E211" s="5"/>
    </row>
    <row r="212" spans="2:5" ht="12.75">
      <c r="B212" s="5"/>
      <c r="C212" s="5"/>
      <c r="D212" s="5"/>
      <c r="E212" s="5"/>
    </row>
    <row r="213" spans="2:5" ht="12.75">
      <c r="B213" s="5"/>
      <c r="C213" s="5"/>
      <c r="D213" s="5"/>
      <c r="E213" s="5"/>
    </row>
    <row r="214" spans="2:5" ht="12.75">
      <c r="B214" s="5"/>
      <c r="C214" s="5"/>
      <c r="D214" s="5"/>
      <c r="E214" s="5"/>
    </row>
    <row r="215" spans="2:5" ht="12.75">
      <c r="B215" s="5"/>
      <c r="C215" s="5"/>
      <c r="D215" s="5"/>
      <c r="E215" s="5"/>
    </row>
    <row r="216" spans="2:5" ht="12.75">
      <c r="B216" s="5"/>
      <c r="C216" s="5"/>
      <c r="D216" s="5"/>
      <c r="E216" s="5"/>
    </row>
    <row r="217" spans="2:5" ht="12.75">
      <c r="B217" s="5"/>
      <c r="C217" s="5"/>
      <c r="D217" s="5"/>
      <c r="E217" s="5"/>
    </row>
    <row r="218" spans="2:5" ht="12.75">
      <c r="B218" s="5"/>
      <c r="C218" s="5"/>
      <c r="D218" s="5"/>
      <c r="E218" s="5"/>
    </row>
    <row r="219" spans="2:5" ht="12.75">
      <c r="B219" s="5"/>
      <c r="C219" s="5"/>
      <c r="D219" s="5"/>
      <c r="E219" s="5"/>
    </row>
    <row r="220" spans="2:5" ht="12.75">
      <c r="B220" s="5"/>
      <c r="C220" s="5"/>
      <c r="D220" s="5"/>
      <c r="E220" s="5"/>
    </row>
    <row r="221" spans="2:5" ht="12.75">
      <c r="B221" s="5"/>
      <c r="C221" s="5"/>
      <c r="D221" s="5"/>
      <c r="E221" s="5"/>
    </row>
    <row r="222" spans="2:5" ht="12.75">
      <c r="B222" s="5"/>
      <c r="C222" s="5"/>
      <c r="D222" s="5"/>
      <c r="E222" s="5"/>
    </row>
    <row r="223" spans="2:5" ht="12.75">
      <c r="B223" s="5"/>
      <c r="C223" s="5"/>
      <c r="D223" s="5"/>
      <c r="E223" s="5"/>
    </row>
    <row r="224" spans="2:5" ht="12.75">
      <c r="B224" s="5"/>
      <c r="C224" s="5"/>
      <c r="D224" s="5"/>
      <c r="E224" s="5"/>
    </row>
    <row r="225" spans="2:5" ht="12.75">
      <c r="B225" s="5"/>
      <c r="C225" s="5"/>
      <c r="D225" s="5"/>
      <c r="E225" s="5"/>
    </row>
    <row r="226" spans="2:5" ht="12.75">
      <c r="B226" s="5"/>
      <c r="C226" s="5"/>
      <c r="D226" s="5"/>
      <c r="E226" s="5"/>
    </row>
    <row r="227" spans="2:5" ht="12.75">
      <c r="B227" s="5"/>
      <c r="C227" s="5"/>
      <c r="D227" s="5"/>
      <c r="E227" s="5"/>
    </row>
    <row r="228" spans="2:5" ht="12.75">
      <c r="B228" s="5"/>
      <c r="C228" s="5"/>
      <c r="D228" s="5"/>
      <c r="E228" s="5"/>
    </row>
    <row r="229" spans="2:5" ht="12.75">
      <c r="B229" s="5"/>
      <c r="C229" s="5"/>
      <c r="D229" s="5"/>
      <c r="E229" s="5"/>
    </row>
    <row r="230" spans="2:5" ht="12.75">
      <c r="B230" s="5"/>
      <c r="C230" s="5"/>
      <c r="D230" s="5"/>
      <c r="E230" s="5"/>
    </row>
    <row r="231" spans="2:5" ht="12.75">
      <c r="B231" s="5"/>
      <c r="C231" s="5"/>
      <c r="D231" s="5"/>
      <c r="E231" s="5"/>
    </row>
    <row r="232" spans="2:5" ht="12.75">
      <c r="B232" s="5"/>
      <c r="C232" s="5"/>
      <c r="D232" s="5"/>
      <c r="E232" s="5"/>
    </row>
    <row r="233" spans="2:5" ht="12.75">
      <c r="B233" s="5"/>
      <c r="C233" s="5"/>
      <c r="D233" s="5"/>
      <c r="E233" s="5"/>
    </row>
    <row r="234" spans="2:5" ht="12.75">
      <c r="B234" s="5"/>
      <c r="C234" s="5"/>
      <c r="D234" s="5"/>
      <c r="E234" s="5"/>
    </row>
    <row r="235" spans="2:5" ht="12.75">
      <c r="B235" s="5"/>
      <c r="C235" s="5"/>
      <c r="D235" s="5"/>
      <c r="E235" s="5"/>
    </row>
    <row r="236" spans="2:5" ht="12.75">
      <c r="B236" s="5"/>
      <c r="C236" s="5"/>
      <c r="D236" s="5"/>
      <c r="E236" s="5"/>
    </row>
    <row r="237" spans="2:5" ht="12.75">
      <c r="B237" s="5"/>
      <c r="C237" s="5"/>
      <c r="D237" s="5"/>
      <c r="E237" s="5"/>
    </row>
    <row r="238" spans="2:5" ht="12.75">
      <c r="B238" s="5"/>
      <c r="C238" s="5"/>
      <c r="D238" s="5"/>
      <c r="E238" s="5"/>
    </row>
    <row r="239" spans="2:5" ht="12.75">
      <c r="B239" s="5"/>
      <c r="C239" s="5"/>
      <c r="D239" s="5"/>
      <c r="E239" s="5"/>
    </row>
    <row r="240" spans="2:5" ht="12.75">
      <c r="B240" s="5"/>
      <c r="C240" s="5"/>
      <c r="D240" s="5"/>
      <c r="E240" s="5"/>
    </row>
    <row r="241" spans="2:5" ht="12.75">
      <c r="B241" s="5"/>
      <c r="C241" s="5"/>
      <c r="D241" s="5"/>
      <c r="E241" s="5"/>
    </row>
    <row r="242" spans="2:5" ht="12.75">
      <c r="B242" s="5"/>
      <c r="C242" s="5"/>
      <c r="D242" s="5"/>
      <c r="E242" s="5"/>
    </row>
    <row r="243" spans="2:5" ht="12.75">
      <c r="B243" s="5"/>
      <c r="C243" s="5"/>
      <c r="D243" s="5"/>
      <c r="E243" s="5"/>
    </row>
    <row r="244" spans="2:5" ht="12.75">
      <c r="B244" s="5"/>
      <c r="C244" s="5"/>
      <c r="D244" s="5"/>
      <c r="E244" s="5"/>
    </row>
    <row r="245" spans="2:5" ht="12.75">
      <c r="B245" s="5"/>
      <c r="C245" s="5"/>
      <c r="D245" s="5"/>
      <c r="E245" s="5"/>
    </row>
    <row r="246" spans="2:5" ht="12.75">
      <c r="B246" s="5"/>
      <c r="C246" s="5"/>
      <c r="D246" s="5"/>
      <c r="E246" s="5"/>
    </row>
    <row r="247" spans="2:5" ht="12.75">
      <c r="B247" s="5"/>
      <c r="C247" s="5"/>
      <c r="D247" s="5"/>
      <c r="E247" s="5"/>
    </row>
    <row r="248" spans="2:5" ht="12.75">
      <c r="B248" s="5"/>
      <c r="C248" s="5"/>
      <c r="D248" s="5"/>
      <c r="E248" s="5"/>
    </row>
    <row r="249" spans="2:5" ht="12.75">
      <c r="B249" s="5"/>
      <c r="C249" s="5"/>
      <c r="D249" s="5"/>
      <c r="E249" s="5"/>
    </row>
    <row r="250" spans="2:5" ht="12.75">
      <c r="B250" s="5"/>
      <c r="C250" s="5"/>
      <c r="D250" s="5"/>
      <c r="E250" s="5"/>
    </row>
    <row r="251" spans="2:5" ht="12.75">
      <c r="B251" s="5"/>
      <c r="C251" s="5"/>
      <c r="D251" s="5"/>
      <c r="E251" s="5"/>
    </row>
    <row r="252" spans="2:5" ht="12.75">
      <c r="B252" s="5"/>
      <c r="C252" s="5"/>
      <c r="D252" s="5"/>
      <c r="E252" s="5"/>
    </row>
    <row r="253" spans="2:5" ht="12.75">
      <c r="B253" s="5"/>
      <c r="C253" s="5"/>
      <c r="D253" s="5"/>
      <c r="E253" s="5"/>
    </row>
    <row r="254" spans="2:5" ht="12.75">
      <c r="B254" s="5"/>
      <c r="C254" s="5"/>
      <c r="D254" s="5"/>
      <c r="E254" s="5"/>
    </row>
    <row r="255" spans="2:5" ht="12.75">
      <c r="B255" s="5"/>
      <c r="C255" s="5"/>
      <c r="D255" s="5"/>
      <c r="E255" s="5"/>
    </row>
    <row r="256" spans="2:5" ht="12.75">
      <c r="B256" s="5"/>
      <c r="C256" s="5"/>
      <c r="D256" s="5"/>
      <c r="E256" s="5"/>
    </row>
    <row r="257" spans="2:5" ht="12.75">
      <c r="B257" s="5"/>
      <c r="C257" s="5"/>
      <c r="D257" s="5"/>
      <c r="E257" s="5"/>
    </row>
    <row r="258" spans="2:5" ht="12.75">
      <c r="B258" s="5"/>
      <c r="C258" s="5"/>
      <c r="D258" s="5"/>
      <c r="E258" s="5"/>
    </row>
    <row r="259" spans="2:5" ht="12.75">
      <c r="B259" s="5"/>
      <c r="C259" s="5"/>
      <c r="D259" s="5"/>
      <c r="E259" s="5"/>
    </row>
    <row r="260" spans="2:5" ht="12.75">
      <c r="B260" s="5"/>
      <c r="C260" s="5"/>
      <c r="D260" s="5"/>
      <c r="E260" s="5"/>
    </row>
    <row r="261" spans="2:5" ht="12.75">
      <c r="B261" s="5"/>
      <c r="C261" s="5"/>
      <c r="D261" s="5"/>
      <c r="E261" s="5"/>
    </row>
    <row r="262" spans="2:5" ht="12.75">
      <c r="B262" s="5"/>
      <c r="C262" s="5"/>
      <c r="D262" s="5"/>
      <c r="E262" s="5"/>
    </row>
    <row r="263" spans="2:5" ht="12.75">
      <c r="B263" s="5"/>
      <c r="C263" s="5"/>
      <c r="D263" s="5"/>
      <c r="E263" s="5"/>
    </row>
    <row r="264" spans="2:5" ht="12.75">
      <c r="B264" s="5"/>
      <c r="C264" s="5"/>
      <c r="D264" s="5"/>
      <c r="E264" s="5"/>
    </row>
    <row r="265" spans="2:5" ht="12.75">
      <c r="B265" s="5"/>
      <c r="C265" s="5"/>
      <c r="D265" s="5"/>
      <c r="E265" s="5"/>
    </row>
    <row r="266" spans="2:5" ht="12.75">
      <c r="B266" s="5"/>
      <c r="C266" s="5"/>
      <c r="D266" s="5"/>
      <c r="E266" s="5"/>
    </row>
    <row r="267" spans="2:5" ht="12.75">
      <c r="B267" s="5"/>
      <c r="C267" s="5"/>
      <c r="D267" s="5"/>
      <c r="E267" s="5"/>
    </row>
    <row r="268" spans="2:5" ht="12.75">
      <c r="B268" s="5"/>
      <c r="C268" s="5"/>
      <c r="D268" s="5"/>
      <c r="E268" s="5"/>
    </row>
    <row r="269" spans="2:5" ht="12.75">
      <c r="B269" s="5"/>
      <c r="C269" s="5"/>
      <c r="D269" s="5"/>
      <c r="E269" s="5"/>
    </row>
    <row r="270" spans="2:5" ht="12.75">
      <c r="B270" s="5"/>
      <c r="C270" s="5"/>
      <c r="D270" s="5"/>
      <c r="E270" s="5"/>
    </row>
    <row r="271" spans="2:5" ht="12.75">
      <c r="B271" s="5"/>
      <c r="C271" s="5"/>
      <c r="D271" s="5"/>
      <c r="E271" s="5"/>
    </row>
    <row r="272" spans="2:5" ht="12.75">
      <c r="B272" s="5"/>
      <c r="C272" s="5"/>
      <c r="D272" s="5"/>
      <c r="E272" s="5"/>
    </row>
    <row r="273" spans="2:5" ht="12.75">
      <c r="B273" s="5"/>
      <c r="C273" s="5"/>
      <c r="D273" s="5"/>
      <c r="E273" s="5"/>
    </row>
    <row r="274" spans="2:5" ht="12.75">
      <c r="B274" s="5"/>
      <c r="C274" s="5"/>
      <c r="D274" s="5"/>
      <c r="E274" s="5"/>
    </row>
    <row r="275" spans="2:5" ht="12.75">
      <c r="B275" s="5"/>
      <c r="C275" s="5"/>
      <c r="D275" s="5"/>
      <c r="E275" s="5"/>
    </row>
    <row r="276" spans="2:5" ht="12.75">
      <c r="B276" s="5"/>
      <c r="C276" s="5"/>
      <c r="D276" s="5"/>
      <c r="E276" s="5"/>
    </row>
    <row r="277" spans="2:5" ht="12.75">
      <c r="B277" s="5"/>
      <c r="C277" s="5"/>
      <c r="D277" s="5"/>
      <c r="E277" s="5"/>
    </row>
    <row r="278" spans="2:5" ht="12.75">
      <c r="B278" s="5"/>
      <c r="C278" s="5"/>
      <c r="D278" s="5"/>
      <c r="E278" s="5"/>
    </row>
    <row r="279" spans="2:5" ht="12.75">
      <c r="B279" s="5"/>
      <c r="C279" s="5"/>
      <c r="D279" s="5"/>
      <c r="E279" s="5"/>
    </row>
    <row r="280" spans="2:5" ht="12.75">
      <c r="B280" s="5"/>
      <c r="C280" s="5"/>
      <c r="D280" s="5"/>
      <c r="E280" s="5"/>
    </row>
    <row r="281" spans="2:5" ht="12.75">
      <c r="B281" s="5"/>
      <c r="C281" s="5"/>
      <c r="D281" s="5"/>
      <c r="E281" s="5"/>
    </row>
    <row r="282" spans="2:5" ht="12.75">
      <c r="B282" s="5"/>
      <c r="C282" s="5"/>
      <c r="D282" s="5"/>
      <c r="E282" s="5"/>
    </row>
    <row r="283" spans="2:5" ht="12.75">
      <c r="B283" s="5"/>
      <c r="C283" s="5"/>
      <c r="D283" s="5"/>
      <c r="E283" s="5"/>
    </row>
    <row r="284" spans="2:5" ht="12.75">
      <c r="B284" s="5"/>
      <c r="C284" s="5"/>
      <c r="D284" s="5"/>
      <c r="E284" s="5"/>
    </row>
    <row r="285" spans="2:5" ht="12.75">
      <c r="B285" s="5"/>
      <c r="C285" s="5"/>
      <c r="D285" s="5"/>
      <c r="E285" s="5"/>
    </row>
    <row r="286" spans="2:5" ht="12.75">
      <c r="B286" s="5"/>
      <c r="C286" s="5"/>
      <c r="D286" s="5"/>
      <c r="E286" s="5"/>
    </row>
    <row r="287" spans="2:5" ht="12.75">
      <c r="B287" s="5"/>
      <c r="C287" s="5"/>
      <c r="D287" s="5"/>
      <c r="E287" s="5"/>
    </row>
    <row r="288" spans="2:5" ht="12.75">
      <c r="B288" s="5"/>
      <c r="C288" s="5"/>
      <c r="D288" s="5"/>
      <c r="E288" s="5"/>
    </row>
    <row r="289" spans="2:5" ht="12.75">
      <c r="B289" s="5"/>
      <c r="C289" s="5"/>
      <c r="D289" s="5"/>
      <c r="E289" s="5"/>
    </row>
    <row r="290" spans="2:5" ht="12.75">
      <c r="B290" s="5"/>
      <c r="C290" s="5"/>
      <c r="D290" s="5"/>
      <c r="E290" s="5"/>
    </row>
    <row r="291" spans="2:5" ht="12.75">
      <c r="B291" s="5"/>
      <c r="C291" s="5"/>
      <c r="D291" s="5"/>
      <c r="E291" s="5"/>
    </row>
    <row r="292" spans="2:5" ht="12.75">
      <c r="B292" s="5"/>
      <c r="C292" s="5"/>
      <c r="D292" s="5"/>
      <c r="E292" s="5"/>
    </row>
    <row r="293" spans="2:5" ht="12.75">
      <c r="B293" s="5"/>
      <c r="C293" s="5"/>
      <c r="D293" s="5"/>
      <c r="E293" s="5"/>
    </row>
    <row r="294" spans="2:5" ht="12.75">
      <c r="B294" s="5"/>
      <c r="C294" s="5"/>
      <c r="D294" s="5"/>
      <c r="E294" s="5"/>
    </row>
    <row r="295" spans="2:5" ht="12.75">
      <c r="B295" s="5"/>
      <c r="C295" s="5"/>
      <c r="D295" s="5"/>
      <c r="E295" s="5"/>
    </row>
    <row r="296" spans="2:5" ht="12.75">
      <c r="B296" s="5"/>
      <c r="C296" s="5"/>
      <c r="D296" s="5"/>
      <c r="E296" s="5"/>
    </row>
    <row r="297" spans="2:5" ht="12.75">
      <c r="B297" s="5"/>
      <c r="C297" s="5"/>
      <c r="D297" s="5"/>
      <c r="E297" s="5"/>
    </row>
    <row r="298" spans="2:5" ht="12.75">
      <c r="B298" s="5"/>
      <c r="C298" s="5"/>
      <c r="D298" s="5"/>
      <c r="E298" s="5"/>
    </row>
    <row r="299" spans="2:5" ht="12.75">
      <c r="B299" s="5"/>
      <c r="C299" s="5"/>
      <c r="D299" s="5"/>
      <c r="E299" s="5"/>
    </row>
    <row r="300" spans="2:5" ht="12.75">
      <c r="B300" s="5"/>
      <c r="C300" s="5"/>
      <c r="D300" s="5"/>
      <c r="E300" s="5"/>
    </row>
    <row r="301" spans="2:5" ht="12.75">
      <c r="B301" s="5"/>
      <c r="C301" s="5"/>
      <c r="D301" s="5"/>
      <c r="E301" s="5"/>
    </row>
    <row r="302" spans="2:5" ht="12.75">
      <c r="B302" s="5"/>
      <c r="C302" s="5"/>
      <c r="D302" s="5"/>
      <c r="E302" s="5"/>
    </row>
    <row r="303" spans="2:5" ht="12.75">
      <c r="B303" s="5"/>
      <c r="C303" s="5"/>
      <c r="D303" s="5"/>
      <c r="E303" s="5"/>
    </row>
    <row r="304" spans="2:5" ht="12.75">
      <c r="B304" s="5"/>
      <c r="C304" s="5"/>
      <c r="D304" s="5"/>
      <c r="E304" s="5"/>
    </row>
    <row r="305" spans="2:5" ht="12.75">
      <c r="B305" s="5"/>
      <c r="C305" s="5"/>
      <c r="D305" s="5"/>
      <c r="E305" s="5"/>
    </row>
    <row r="306" spans="2:5" ht="12.75">
      <c r="B306" s="5"/>
      <c r="C306" s="5"/>
      <c r="D306" s="5"/>
      <c r="E306" s="5"/>
    </row>
    <row r="307" spans="2:5" ht="12.75">
      <c r="B307" s="5"/>
      <c r="C307" s="5"/>
      <c r="D307" s="5"/>
      <c r="E307" s="5"/>
    </row>
    <row r="308" spans="2:5" ht="12.75">
      <c r="B308" s="5"/>
      <c r="C308" s="5"/>
      <c r="D308" s="5"/>
      <c r="E308" s="5"/>
    </row>
    <row r="309" spans="2:5" ht="12.75">
      <c r="B309" s="5"/>
      <c r="C309" s="5"/>
      <c r="D309" s="5"/>
      <c r="E309" s="5"/>
    </row>
    <row r="310" spans="2:5" ht="12.75">
      <c r="B310" s="5"/>
      <c r="C310" s="5"/>
      <c r="D310" s="5"/>
      <c r="E310" s="5"/>
    </row>
    <row r="311" spans="2:5" ht="12.75">
      <c r="B311" s="5"/>
      <c r="C311" s="5"/>
      <c r="D311" s="5"/>
      <c r="E311" s="5"/>
    </row>
    <row r="312" spans="2:5" ht="12.75">
      <c r="B312" s="5"/>
      <c r="C312" s="5"/>
      <c r="D312" s="5"/>
      <c r="E312" s="5"/>
    </row>
    <row r="313" spans="2:5" ht="12.75">
      <c r="B313" s="5"/>
      <c r="C313" s="5"/>
      <c r="D313" s="5"/>
      <c r="E313" s="5"/>
    </row>
    <row r="314" spans="2:5" ht="12.75">
      <c r="B314" s="5"/>
      <c r="C314" s="5"/>
      <c r="D314" s="5"/>
      <c r="E314" s="5"/>
    </row>
    <row r="315" spans="2:5" ht="12.75">
      <c r="B315" s="5"/>
      <c r="C315" s="5"/>
      <c r="D315" s="5"/>
      <c r="E315" s="5"/>
    </row>
    <row r="316" spans="2:5" ht="12.75">
      <c r="B316" s="5"/>
      <c r="C316" s="5"/>
      <c r="D316" s="5"/>
      <c r="E316" s="5"/>
    </row>
    <row r="317" spans="2:5" ht="12.75">
      <c r="B317" s="5"/>
      <c r="C317" s="5"/>
      <c r="D317" s="5"/>
      <c r="E317" s="5"/>
    </row>
    <row r="318" spans="2:5" ht="12.75">
      <c r="B318" s="5"/>
      <c r="C318" s="5"/>
      <c r="D318" s="5"/>
      <c r="E318" s="5"/>
    </row>
    <row r="319" spans="2:5" ht="12.75">
      <c r="B319" s="5"/>
      <c r="C319" s="5"/>
      <c r="D319" s="5"/>
      <c r="E319" s="5"/>
    </row>
    <row r="320" spans="2:5" ht="12.75">
      <c r="B320" s="5"/>
      <c r="C320" s="5"/>
      <c r="D320" s="5"/>
      <c r="E320" s="5"/>
    </row>
    <row r="321" spans="2:5" ht="12.75">
      <c r="B321" s="5"/>
      <c r="C321" s="5"/>
      <c r="D321" s="5"/>
      <c r="E321" s="5"/>
    </row>
    <row r="322" spans="2:5" ht="12.75">
      <c r="B322" s="5"/>
      <c r="C322" s="5"/>
      <c r="D322" s="5"/>
      <c r="E322" s="5"/>
    </row>
    <row r="323" spans="2:5" ht="12.75">
      <c r="B323" s="5"/>
      <c r="C323" s="5"/>
      <c r="D323" s="5"/>
      <c r="E323" s="5"/>
    </row>
    <row r="324" spans="2:5" ht="12.75">
      <c r="B324" s="5"/>
      <c r="C324" s="5"/>
      <c r="D324" s="5"/>
      <c r="E324" s="5"/>
    </row>
    <row r="325" spans="2:5" ht="12.75">
      <c r="B325" s="5"/>
      <c r="C325" s="5"/>
      <c r="D325" s="5"/>
      <c r="E325" s="5"/>
    </row>
    <row r="326" spans="2:5" ht="12.75">
      <c r="B326" s="5"/>
      <c r="C326" s="5"/>
      <c r="D326" s="5"/>
      <c r="E326" s="5"/>
    </row>
    <row r="327" spans="2:5" ht="12.75">
      <c r="B327" s="5"/>
      <c r="C327" s="5"/>
      <c r="D327" s="5"/>
      <c r="E327" s="5"/>
    </row>
    <row r="328" spans="2:5" ht="12.75">
      <c r="B328" s="5"/>
      <c r="C328" s="5"/>
      <c r="D328" s="5"/>
      <c r="E328" s="5"/>
    </row>
    <row r="329" spans="2:5" ht="12.75">
      <c r="B329" s="5"/>
      <c r="C329" s="5"/>
      <c r="D329" s="5"/>
      <c r="E329" s="5"/>
    </row>
    <row r="330" spans="2:5" ht="12.75">
      <c r="B330" s="5"/>
      <c r="C330" s="5"/>
      <c r="D330" s="5"/>
      <c r="E330" s="5"/>
    </row>
    <row r="331" spans="2:5" ht="12.75">
      <c r="B331" s="5"/>
      <c r="C331" s="5"/>
      <c r="D331" s="5"/>
      <c r="E331" s="5"/>
    </row>
    <row r="332" spans="2:5" ht="12.75">
      <c r="B332" s="5"/>
      <c r="C332" s="5"/>
      <c r="D332" s="5"/>
      <c r="E332" s="5"/>
    </row>
    <row r="333" spans="2:5" ht="12.75">
      <c r="B333" s="5"/>
      <c r="C333" s="5"/>
      <c r="D333" s="5"/>
      <c r="E333" s="5"/>
    </row>
    <row r="334" spans="2:5" ht="12.75">
      <c r="B334" s="5"/>
      <c r="C334" s="5"/>
      <c r="D334" s="5"/>
      <c r="E334" s="5"/>
    </row>
    <row r="335" spans="2:5" ht="12.75">
      <c r="B335" s="5"/>
      <c r="C335" s="5"/>
      <c r="D335" s="5"/>
      <c r="E335" s="5"/>
    </row>
    <row r="336" spans="2:5" ht="12.75">
      <c r="B336" s="5"/>
      <c r="C336" s="5"/>
      <c r="D336" s="5"/>
      <c r="E336" s="5"/>
    </row>
    <row r="337" spans="2:5" ht="12.75">
      <c r="B337" s="5"/>
      <c r="C337" s="5"/>
      <c r="D337" s="5"/>
      <c r="E337" s="5"/>
    </row>
    <row r="338" spans="2:5" ht="12.75">
      <c r="B338" s="5"/>
      <c r="C338" s="5"/>
      <c r="D338" s="5"/>
      <c r="E338" s="5"/>
    </row>
    <row r="339" spans="2:5" ht="12.75">
      <c r="B339" s="5"/>
      <c r="C339" s="5"/>
      <c r="D339" s="5"/>
      <c r="E339" s="5"/>
    </row>
    <row r="340" spans="2:5" ht="12.75">
      <c r="B340" s="5"/>
      <c r="C340" s="5"/>
      <c r="D340" s="5"/>
      <c r="E340" s="5"/>
    </row>
    <row r="341" spans="2:5" ht="12.75">
      <c r="B341" s="5"/>
      <c r="C341" s="5"/>
      <c r="D341" s="5"/>
      <c r="E341" s="5"/>
    </row>
    <row r="342" spans="2:5" ht="12.75">
      <c r="B342" s="5"/>
      <c r="C342" s="5"/>
      <c r="D342" s="5"/>
      <c r="E342" s="5"/>
    </row>
    <row r="343" spans="2:5" ht="12.75">
      <c r="B343" s="5"/>
      <c r="C343" s="5"/>
      <c r="D343" s="5"/>
      <c r="E343" s="5"/>
    </row>
    <row r="344" spans="2:5" ht="12.75">
      <c r="B344" s="5"/>
      <c r="C344" s="5"/>
      <c r="D344" s="5"/>
      <c r="E344" s="5"/>
    </row>
    <row r="345" spans="2:5" ht="12.75">
      <c r="B345" s="5"/>
      <c r="C345" s="5"/>
      <c r="D345" s="5"/>
      <c r="E345" s="5"/>
    </row>
    <row r="346" spans="2:5" ht="12.75">
      <c r="B346" s="5"/>
      <c r="C346" s="5"/>
      <c r="D346" s="5"/>
      <c r="E346" s="5"/>
    </row>
    <row r="347" spans="2:5" ht="12.75">
      <c r="B347" s="5"/>
      <c r="C347" s="5"/>
      <c r="D347" s="5"/>
      <c r="E347" s="5"/>
    </row>
    <row r="348" spans="2:5" ht="12.75">
      <c r="B348" s="5"/>
      <c r="C348" s="5"/>
      <c r="D348" s="5"/>
      <c r="E348" s="5"/>
    </row>
    <row r="349" spans="2:5" ht="12.75">
      <c r="B349" s="5"/>
      <c r="C349" s="5"/>
      <c r="D349" s="5"/>
      <c r="E349" s="5"/>
    </row>
    <row r="350" spans="2:5" ht="12.75">
      <c r="B350" s="5"/>
      <c r="C350" s="5"/>
      <c r="D350" s="5"/>
      <c r="E350" s="5"/>
    </row>
    <row r="351" spans="2:5" ht="12.75">
      <c r="B351" s="5"/>
      <c r="C351" s="5"/>
      <c r="D351" s="5"/>
      <c r="E351" s="5"/>
    </row>
    <row r="352" spans="2:5" ht="12.75">
      <c r="B352" s="5"/>
      <c r="C352" s="5"/>
      <c r="D352" s="5"/>
      <c r="E352" s="5"/>
    </row>
    <row r="353" spans="2:5" ht="12.75">
      <c r="B353" s="5"/>
      <c r="C353" s="5"/>
      <c r="D353" s="5"/>
      <c r="E353" s="5"/>
    </row>
    <row r="354" spans="2:5" ht="12.75">
      <c r="B354" s="5"/>
      <c r="C354" s="5"/>
      <c r="D354" s="5"/>
      <c r="E354" s="5"/>
    </row>
    <row r="355" spans="2:5" ht="12.75">
      <c r="B355" s="5"/>
      <c r="C355" s="5"/>
      <c r="D355" s="5"/>
      <c r="E355" s="5"/>
    </row>
    <row r="356" spans="2:5" ht="12.75">
      <c r="B356" s="5"/>
      <c r="C356" s="5"/>
      <c r="D356" s="5"/>
      <c r="E356" s="5"/>
    </row>
    <row r="357" spans="2:5" ht="12.75">
      <c r="B357" s="5"/>
      <c r="C357" s="5"/>
      <c r="D357" s="5"/>
      <c r="E357" s="5"/>
    </row>
    <row r="358" spans="2:5" ht="12.75">
      <c r="B358" s="5"/>
      <c r="C358" s="5"/>
      <c r="D358" s="5"/>
      <c r="E358" s="5"/>
    </row>
    <row r="359" spans="2:5" ht="12.75">
      <c r="B359" s="5"/>
      <c r="C359" s="5"/>
      <c r="D359" s="5"/>
      <c r="E359" s="5"/>
    </row>
    <row r="360" spans="2:5" ht="12.75">
      <c r="B360" s="5"/>
      <c r="C360" s="5"/>
      <c r="D360" s="5"/>
      <c r="E360" s="5"/>
    </row>
    <row r="361" spans="2:5" ht="12.75">
      <c r="B361" s="5"/>
      <c r="C361" s="5"/>
      <c r="D361" s="5"/>
      <c r="E361" s="5"/>
    </row>
    <row r="362" spans="2:5" ht="12.75">
      <c r="B362" s="5"/>
      <c r="C362" s="5"/>
      <c r="D362" s="5"/>
      <c r="E362" s="5"/>
    </row>
    <row r="363" spans="2:5" ht="12.75">
      <c r="B363" s="5"/>
      <c r="C363" s="5"/>
      <c r="D363" s="5"/>
      <c r="E363" s="5"/>
    </row>
    <row r="364" spans="2:5" ht="12.75">
      <c r="B364" s="5"/>
      <c r="C364" s="5"/>
      <c r="D364" s="5"/>
      <c r="E364" s="5"/>
    </row>
    <row r="365" spans="2:5" ht="12.75">
      <c r="B365" s="5"/>
      <c r="C365" s="5"/>
      <c r="D365" s="5"/>
      <c r="E365" s="5"/>
    </row>
    <row r="366" spans="2:5" ht="12.75">
      <c r="B366" s="5"/>
      <c r="C366" s="5"/>
      <c r="D366" s="5"/>
      <c r="E366" s="5"/>
    </row>
    <row r="367" spans="2:5" ht="12.75">
      <c r="B367" s="5"/>
      <c r="C367" s="5"/>
      <c r="D367" s="5"/>
      <c r="E367" s="5"/>
    </row>
    <row r="368" spans="2:5" ht="12.75">
      <c r="B368" s="5"/>
      <c r="C368" s="5"/>
      <c r="D368" s="5"/>
      <c r="E368" s="5"/>
    </row>
    <row r="369" spans="2:5" ht="12.75">
      <c r="B369" s="5"/>
      <c r="C369" s="5"/>
      <c r="D369" s="5"/>
      <c r="E369" s="5"/>
    </row>
    <row r="370" spans="2:5" ht="12.75">
      <c r="B370" s="5"/>
      <c r="C370" s="5"/>
      <c r="D370" s="5"/>
      <c r="E370" s="5"/>
    </row>
    <row r="371" spans="2:5" ht="12.75">
      <c r="B371" s="5"/>
      <c r="C371" s="5"/>
      <c r="D371" s="5"/>
      <c r="E371" s="5"/>
    </row>
    <row r="372" spans="2:5" ht="12.75">
      <c r="B372" s="5"/>
      <c r="C372" s="5"/>
      <c r="D372" s="5"/>
      <c r="E372" s="5"/>
    </row>
    <row r="373" spans="2:5" ht="12.75">
      <c r="B373" s="5"/>
      <c r="C373" s="5"/>
      <c r="D373" s="5"/>
      <c r="E373" s="5"/>
    </row>
    <row r="374" spans="2:5" ht="12.75">
      <c r="B374" s="5"/>
      <c r="C374" s="5"/>
      <c r="D374" s="5"/>
      <c r="E374" s="5"/>
    </row>
    <row r="375" spans="2:5" ht="12.75">
      <c r="B375" s="5"/>
      <c r="C375" s="5"/>
      <c r="D375" s="5"/>
      <c r="E375" s="5"/>
    </row>
    <row r="376" spans="2:5" ht="12.75">
      <c r="B376" s="5"/>
      <c r="C376" s="5"/>
      <c r="D376" s="5"/>
      <c r="E376" s="5"/>
    </row>
    <row r="377" spans="2:5" ht="12.75">
      <c r="B377" s="5"/>
      <c r="C377" s="5"/>
      <c r="D377" s="5"/>
      <c r="E377" s="5"/>
    </row>
    <row r="378" spans="2:5" ht="12.75">
      <c r="B378" s="5"/>
      <c r="C378" s="5"/>
      <c r="D378" s="5"/>
      <c r="E378" s="5"/>
    </row>
    <row r="379" spans="2:5" ht="12.75">
      <c r="B379" s="5"/>
      <c r="C379" s="5"/>
      <c r="D379" s="5"/>
      <c r="E379" s="5"/>
    </row>
    <row r="380" spans="2:5" ht="12.75">
      <c r="B380" s="5"/>
      <c r="C380" s="5"/>
      <c r="D380" s="5"/>
      <c r="E380" s="5"/>
    </row>
    <row r="381" spans="2:5" ht="12.75">
      <c r="B381" s="5"/>
      <c r="C381" s="5"/>
      <c r="D381" s="5"/>
      <c r="E381" s="5"/>
    </row>
    <row r="382" spans="2:5" ht="12.75">
      <c r="B382" s="5"/>
      <c r="C382" s="5"/>
      <c r="D382" s="5"/>
      <c r="E382" s="5"/>
    </row>
    <row r="383" spans="2:5" ht="12.75">
      <c r="B383" s="5"/>
      <c r="C383" s="5"/>
      <c r="D383" s="5"/>
      <c r="E383" s="5"/>
    </row>
    <row r="384" spans="2:5" ht="12.75">
      <c r="B384" s="5"/>
      <c r="C384" s="5"/>
      <c r="D384" s="5"/>
      <c r="E384" s="5"/>
    </row>
    <row r="385" spans="2:5" ht="12.75">
      <c r="B385" s="5"/>
      <c r="C385" s="5"/>
      <c r="D385" s="5"/>
      <c r="E385" s="5"/>
    </row>
    <row r="386" spans="2:5" ht="12.75">
      <c r="B386" s="5"/>
      <c r="C386" s="5"/>
      <c r="D386" s="5"/>
      <c r="E386" s="5"/>
    </row>
    <row r="387" spans="2:5" ht="12.75">
      <c r="B387" s="5"/>
      <c r="C387" s="5"/>
      <c r="D387" s="5"/>
      <c r="E387" s="5"/>
    </row>
    <row r="388" spans="2:5" ht="12.75">
      <c r="B388" s="5"/>
      <c r="C388" s="5"/>
      <c r="D388" s="5"/>
      <c r="E388" s="5"/>
    </row>
    <row r="389" spans="2:5" ht="12.75">
      <c r="B389" s="5"/>
      <c r="C389" s="5"/>
      <c r="D389" s="5"/>
      <c r="E389" s="5"/>
    </row>
    <row r="390" spans="2:5" ht="12.75">
      <c r="B390" s="5"/>
      <c r="C390" s="5"/>
      <c r="D390" s="5"/>
      <c r="E390" s="5"/>
    </row>
    <row r="391" spans="2:5" ht="12.75">
      <c r="B391" s="5"/>
      <c r="C391" s="5"/>
      <c r="D391" s="5"/>
      <c r="E391" s="5"/>
    </row>
    <row r="392" spans="2:5" ht="12.75">
      <c r="B392" s="5"/>
      <c r="C392" s="5"/>
      <c r="D392" s="5"/>
      <c r="E392" s="5"/>
    </row>
    <row r="393" spans="2:5" ht="12.75">
      <c r="B393" s="5"/>
      <c r="C393" s="5"/>
      <c r="D393" s="5"/>
      <c r="E393" s="5"/>
    </row>
    <row r="394" spans="2:5" ht="12.75">
      <c r="B394" s="5"/>
      <c r="C394" s="5"/>
      <c r="D394" s="5"/>
      <c r="E394" s="5"/>
    </row>
    <row r="395" spans="2:5" ht="12.75">
      <c r="B395" s="5"/>
      <c r="C395" s="5"/>
      <c r="D395" s="5"/>
      <c r="E395" s="5"/>
    </row>
    <row r="396" spans="2:5" ht="12.75">
      <c r="B396" s="5"/>
      <c r="C396" s="5"/>
      <c r="D396" s="5"/>
      <c r="E396" s="5"/>
    </row>
    <row r="397" spans="2:5" ht="12.75">
      <c r="B397" s="5"/>
      <c r="C397" s="5"/>
      <c r="D397" s="5"/>
      <c r="E397" s="5"/>
    </row>
    <row r="398" spans="2:5" ht="12.75">
      <c r="B398" s="5"/>
      <c r="C398" s="5"/>
      <c r="D398" s="5"/>
      <c r="E398" s="5"/>
    </row>
    <row r="399" spans="2:5" ht="12.75">
      <c r="B399" s="5"/>
      <c r="C399" s="5"/>
      <c r="D399" s="5"/>
      <c r="E399" s="5"/>
    </row>
    <row r="400" spans="2:5" ht="12.75">
      <c r="B400" s="5"/>
      <c r="C400" s="5"/>
      <c r="D400" s="5"/>
      <c r="E400" s="5"/>
    </row>
    <row r="401" spans="2:5" ht="12.75">
      <c r="B401" s="5"/>
      <c r="C401" s="5"/>
      <c r="D401" s="5"/>
      <c r="E401" s="5"/>
    </row>
    <row r="402" spans="2:5" ht="12.75">
      <c r="B402" s="5"/>
      <c r="C402" s="5"/>
      <c r="D402" s="5"/>
      <c r="E402" s="5"/>
    </row>
    <row r="403" spans="2:5" ht="12.75">
      <c r="B403" s="5"/>
      <c r="C403" s="5"/>
      <c r="D403" s="5"/>
      <c r="E403" s="5"/>
    </row>
    <row r="404" spans="2:5" ht="12.75">
      <c r="B404" s="5"/>
      <c r="C404" s="5"/>
      <c r="D404" s="5"/>
      <c r="E404" s="5"/>
    </row>
    <row r="405" spans="2:5" ht="12.75">
      <c r="B405" s="5"/>
      <c r="C405" s="5"/>
      <c r="D405" s="5"/>
      <c r="E405" s="5"/>
    </row>
    <row r="406" spans="2:5" ht="12.75">
      <c r="B406" s="5"/>
      <c r="C406" s="5"/>
      <c r="D406" s="5"/>
      <c r="E406" s="5"/>
    </row>
    <row r="407" spans="2:5" ht="12.75">
      <c r="B407" s="5"/>
      <c r="C407" s="5"/>
      <c r="D407" s="5"/>
      <c r="E407" s="5"/>
    </row>
    <row r="408" spans="2:5" ht="12.75">
      <c r="B408" s="5"/>
      <c r="C408" s="5"/>
      <c r="D408" s="5"/>
      <c r="E408" s="5"/>
    </row>
    <row r="409" spans="2:5" ht="12.75">
      <c r="B409" s="5"/>
      <c r="C409" s="5"/>
      <c r="D409" s="5"/>
      <c r="E409" s="5"/>
    </row>
    <row r="410" spans="2:5" ht="12.75">
      <c r="B410" s="5"/>
      <c r="C410" s="5"/>
      <c r="D410" s="5"/>
      <c r="E410" s="5"/>
    </row>
    <row r="411" spans="2:5" ht="12.75">
      <c r="B411" s="5"/>
      <c r="C411" s="5"/>
      <c r="D411" s="5"/>
      <c r="E411" s="5"/>
    </row>
    <row r="412" spans="2:5" ht="12.75">
      <c r="B412" s="5"/>
      <c r="C412" s="5"/>
      <c r="D412" s="5"/>
      <c r="E412" s="5"/>
    </row>
    <row r="413" spans="2:5" ht="12.75">
      <c r="B413" s="5"/>
      <c r="C413" s="5"/>
      <c r="D413" s="5"/>
      <c r="E413" s="5"/>
    </row>
    <row r="414" spans="2:5" ht="12.75">
      <c r="B414" s="5"/>
      <c r="C414" s="5"/>
      <c r="D414" s="5"/>
      <c r="E414" s="5"/>
    </row>
    <row r="415" spans="2:5" ht="12.75">
      <c r="B415" s="5"/>
      <c r="C415" s="5"/>
      <c r="D415" s="5"/>
      <c r="E415" s="5"/>
    </row>
    <row r="416" spans="2:5" ht="12.75">
      <c r="B416" s="5"/>
      <c r="C416" s="5"/>
      <c r="D416" s="5"/>
      <c r="E416" s="5"/>
    </row>
    <row r="417" spans="2:5" ht="12.75">
      <c r="B417" s="5"/>
      <c r="C417" s="5"/>
      <c r="D417" s="5"/>
      <c r="E417" s="5"/>
    </row>
    <row r="418" spans="2:5" ht="12.75">
      <c r="B418" s="5"/>
      <c r="C418" s="5"/>
      <c r="D418" s="5"/>
      <c r="E418" s="5"/>
    </row>
    <row r="419" spans="2:5" ht="12.75">
      <c r="B419" s="5"/>
      <c r="C419" s="5"/>
      <c r="D419" s="5"/>
      <c r="E419" s="5"/>
    </row>
    <row r="420" spans="2:5" ht="12.75">
      <c r="B420" s="5"/>
      <c r="C420" s="5"/>
      <c r="D420" s="5"/>
      <c r="E420" s="5"/>
    </row>
    <row r="421" spans="2:5" ht="12.75">
      <c r="B421" s="5"/>
      <c r="C421" s="5"/>
      <c r="D421" s="5"/>
      <c r="E421" s="5"/>
    </row>
    <row r="422" spans="2:5" ht="12.75">
      <c r="B422" s="5"/>
      <c r="C422" s="5"/>
      <c r="D422" s="5"/>
      <c r="E422" s="5"/>
    </row>
    <row r="423" spans="2:5" ht="12.75">
      <c r="B423" s="5"/>
      <c r="C423" s="5"/>
      <c r="D423" s="5"/>
      <c r="E423" s="5"/>
    </row>
    <row r="424" spans="2:5" ht="12.75">
      <c r="B424" s="5"/>
      <c r="C424" s="5"/>
      <c r="D424" s="5"/>
      <c r="E424" s="5"/>
    </row>
    <row r="425" spans="2:5" ht="12.75">
      <c r="B425" s="5"/>
      <c r="C425" s="5"/>
      <c r="D425" s="5"/>
      <c r="E425" s="5"/>
    </row>
    <row r="426" spans="2:5" ht="12.75">
      <c r="B426" s="5"/>
      <c r="C426" s="5"/>
      <c r="D426" s="5"/>
      <c r="E426" s="5"/>
    </row>
  </sheetData>
  <printOptions/>
  <pageMargins left="0.75" right="0.75" top="1" bottom="1" header="0.5" footer="0.5"/>
  <pageSetup horizontalDpi="300" verticalDpi="300" orientation="landscape" scale="70" r:id="rId1"/>
  <rowBreaks count="1" manualBreakCount="1">
    <brk id="51" max="255" man="1"/>
  </rowBreaks>
</worksheet>
</file>

<file path=xl/worksheets/sheet8.xml><?xml version="1.0" encoding="utf-8"?>
<worksheet xmlns="http://schemas.openxmlformats.org/spreadsheetml/2006/main" xmlns:r="http://schemas.openxmlformats.org/officeDocument/2006/relationships">
  <sheetPr>
    <tabColor indexed="43"/>
  </sheetPr>
  <dimension ref="A1:E32"/>
  <sheetViews>
    <sheetView workbookViewId="0" topLeftCell="A1">
      <selection activeCell="A1" sqref="A1"/>
    </sheetView>
  </sheetViews>
  <sheetFormatPr defaultColWidth="9.140625" defaultRowHeight="12.75"/>
  <cols>
    <col min="1" max="1" width="30.7109375" style="0" customWidth="1"/>
    <col min="2" max="4" width="12.7109375" style="0" customWidth="1"/>
    <col min="6" max="8" width="12.7109375" style="0" customWidth="1"/>
  </cols>
  <sheetData>
    <row r="1" ht="15.75">
      <c r="A1" s="6" t="s">
        <v>317</v>
      </c>
    </row>
    <row r="2" s="190" customFormat="1" ht="15.75">
      <c r="A2" s="6" t="s">
        <v>128</v>
      </c>
    </row>
    <row r="3" s="190" customFormat="1" ht="15.75">
      <c r="A3" s="6" t="s">
        <v>290</v>
      </c>
    </row>
    <row r="5" ht="15.75">
      <c r="A5" s="8" t="s">
        <v>64</v>
      </c>
    </row>
    <row r="6" spans="1:2" ht="15.75">
      <c r="A6" s="6" t="s">
        <v>0</v>
      </c>
      <c r="B6" s="3" t="s">
        <v>253</v>
      </c>
    </row>
    <row r="7" spans="1:4" ht="12.75">
      <c r="A7" s="72"/>
      <c r="B7" s="73" t="s">
        <v>8</v>
      </c>
      <c r="C7" s="73" t="s">
        <v>265</v>
      </c>
      <c r="D7" s="73" t="s">
        <v>9</v>
      </c>
    </row>
    <row r="8" spans="1:4" ht="24">
      <c r="A8" s="138" t="s">
        <v>216</v>
      </c>
      <c r="B8" s="97"/>
      <c r="C8" s="97"/>
      <c r="D8" s="97"/>
    </row>
    <row r="9" spans="1:4" ht="12.75">
      <c r="A9" s="2" t="s">
        <v>196</v>
      </c>
      <c r="B9" s="139">
        <f>'Service Assumptions'!D16</f>
        <v>3</v>
      </c>
      <c r="C9" s="139">
        <f>'Service Assumptions'!E16</f>
        <v>4</v>
      </c>
      <c r="D9" s="139">
        <f>'Service Assumptions'!F16</f>
        <v>5</v>
      </c>
    </row>
    <row r="10" spans="1:4" ht="12.75">
      <c r="A10" s="2" t="s">
        <v>25</v>
      </c>
      <c r="B10" s="139">
        <f>'Service Assumptions'!D17</f>
        <v>3</v>
      </c>
      <c r="C10" s="139">
        <f>'Service Assumptions'!E17</f>
        <v>4</v>
      </c>
      <c r="D10" s="139">
        <f>'Service Assumptions'!F17</f>
        <v>5</v>
      </c>
    </row>
    <row r="11" spans="1:4" ht="12.75">
      <c r="A11" s="2" t="s">
        <v>197</v>
      </c>
      <c r="B11" s="139">
        <f>'Service Assumptions'!D18</f>
        <v>3</v>
      </c>
      <c r="C11" s="139">
        <f>'Service Assumptions'!E18</f>
        <v>4</v>
      </c>
      <c r="D11" s="139">
        <f>'Service Assumptions'!F18</f>
        <v>5</v>
      </c>
    </row>
    <row r="13" ht="12.75">
      <c r="A13" s="74" t="s">
        <v>47</v>
      </c>
    </row>
    <row r="14" spans="1:4" ht="12.75">
      <c r="A14" s="76" t="s">
        <v>118</v>
      </c>
      <c r="B14" s="139">
        <f>(B9)*5*2</f>
        <v>30</v>
      </c>
      <c r="C14" s="139">
        <f>(C9)*5*2</f>
        <v>40</v>
      </c>
      <c r="D14" s="139">
        <f>(D9)*5*2</f>
        <v>50</v>
      </c>
    </row>
    <row r="15" spans="1:4" ht="12.75">
      <c r="A15" s="76" t="s">
        <v>117</v>
      </c>
      <c r="B15" s="139">
        <f>B10*13*2</f>
        <v>78</v>
      </c>
      <c r="C15" s="139">
        <f>C10*13*2</f>
        <v>104</v>
      </c>
      <c r="D15" s="139">
        <f>D10*13*2</f>
        <v>130</v>
      </c>
    </row>
    <row r="16" spans="1:4" ht="12.75">
      <c r="A16" s="76" t="s">
        <v>48</v>
      </c>
      <c r="B16" s="139">
        <f>SUM(B14:B15)</f>
        <v>108</v>
      </c>
      <c r="C16" s="139">
        <f>SUM(C14:C15)</f>
        <v>144</v>
      </c>
      <c r="D16" s="139">
        <f>SUM(D14:D15)</f>
        <v>180</v>
      </c>
    </row>
    <row r="18" spans="1:4" ht="12.75">
      <c r="A18" s="77" t="s">
        <v>198</v>
      </c>
      <c r="B18" s="105"/>
      <c r="C18" s="105"/>
      <c r="D18" s="105"/>
    </row>
    <row r="19" spans="2:4" ht="12.75">
      <c r="B19" s="105"/>
      <c r="C19" s="105"/>
      <c r="D19" s="105"/>
    </row>
    <row r="20" ht="12.75" hidden="1"/>
    <row r="23" spans="1:4" ht="12.75">
      <c r="A23" s="89" t="s">
        <v>74</v>
      </c>
      <c r="B23" s="174">
        <f>'Service Assumptions'!B44</f>
        <v>624</v>
      </c>
      <c r="C23" s="174">
        <f>'Service Assumptions'!B44</f>
        <v>624</v>
      </c>
      <c r="D23" s="174">
        <f>'Service Assumptions'!B44</f>
        <v>624</v>
      </c>
    </row>
    <row r="24" ht="12.75">
      <c r="A24" s="76"/>
    </row>
    <row r="25" ht="15.75">
      <c r="A25" s="91" t="s">
        <v>64</v>
      </c>
    </row>
    <row r="26" ht="12.75">
      <c r="A26" s="92" t="s">
        <v>75</v>
      </c>
    </row>
    <row r="27" spans="1:4" ht="12.75">
      <c r="A27" s="67" t="s">
        <v>41</v>
      </c>
      <c r="B27" s="94">
        <f>B14*B23*Tariff!B70</f>
        <v>374400</v>
      </c>
      <c r="C27" s="94">
        <f>C14*C23*Tariff!C70</f>
        <v>499200</v>
      </c>
      <c r="D27" s="94">
        <f>D14*D23*Tariff!D70</f>
        <v>624000</v>
      </c>
    </row>
    <row r="28" spans="1:5" ht="12.75">
      <c r="A28" s="67" t="s">
        <v>42</v>
      </c>
      <c r="B28" s="94">
        <f>B15*B23*Tariff!B70</f>
        <v>973440</v>
      </c>
      <c r="C28" s="94">
        <f>C15*C23*Tariff!C70</f>
        <v>1297920</v>
      </c>
      <c r="D28" s="94">
        <f>D15*D23*Tariff!D70</f>
        <v>1622400</v>
      </c>
      <c r="E28" s="5"/>
    </row>
    <row r="29" spans="1:5" ht="12.75">
      <c r="A29" s="67"/>
      <c r="E29" s="5"/>
    </row>
    <row r="31" spans="1:4" ht="12.75">
      <c r="A31" s="109" t="s">
        <v>76</v>
      </c>
      <c r="B31" s="110">
        <f>SUM(B28+B27)</f>
        <v>1347840</v>
      </c>
      <c r="C31" s="110">
        <f>SUM(C28+C27)</f>
        <v>1797120</v>
      </c>
      <c r="D31" s="110">
        <f>SUM(D28+D27)</f>
        <v>2246400</v>
      </c>
    </row>
    <row r="32" ht="12.75">
      <c r="E32" s="108"/>
    </row>
  </sheetData>
  <printOptions/>
  <pageMargins left="0.75" right="0.75" top="1" bottom="1" header="0.5" footer="0.5"/>
  <pageSetup horizontalDpi="300" verticalDpi="300" orientation="landscape" r:id="rId1"/>
</worksheet>
</file>

<file path=xl/worksheets/sheet9.xml><?xml version="1.0" encoding="utf-8"?>
<worksheet xmlns="http://schemas.openxmlformats.org/spreadsheetml/2006/main" xmlns:r="http://schemas.openxmlformats.org/officeDocument/2006/relationships">
  <sheetPr>
    <tabColor indexed="24"/>
  </sheetPr>
  <dimension ref="A1:E24"/>
  <sheetViews>
    <sheetView workbookViewId="0" topLeftCell="A1">
      <selection activeCell="A1" sqref="A1"/>
    </sheetView>
  </sheetViews>
  <sheetFormatPr defaultColWidth="9.140625" defaultRowHeight="12.75"/>
  <cols>
    <col min="1" max="1" width="30.7109375" style="0" customWidth="1"/>
    <col min="2" max="5" width="12.7109375" style="0" customWidth="1"/>
  </cols>
  <sheetData>
    <row r="1" spans="1:2" ht="15.75">
      <c r="A1" s="6" t="s">
        <v>317</v>
      </c>
      <c r="B1" s="6"/>
    </row>
    <row r="2" ht="15.75">
      <c r="A2" s="6" t="s">
        <v>289</v>
      </c>
    </row>
    <row r="3" spans="1:2" ht="12.75">
      <c r="A3" s="175"/>
      <c r="B3" s="175"/>
    </row>
    <row r="6" spans="1:5" ht="12.75">
      <c r="A6" s="4" t="s">
        <v>175</v>
      </c>
      <c r="B6" s="181" t="s">
        <v>85</v>
      </c>
      <c r="C6" s="181" t="s">
        <v>8</v>
      </c>
      <c r="D6" s="181" t="s">
        <v>265</v>
      </c>
      <c r="E6" s="181" t="s">
        <v>9</v>
      </c>
    </row>
    <row r="7" spans="1:5" ht="12.75">
      <c r="A7" s="1" t="s">
        <v>171</v>
      </c>
      <c r="B7" s="182" t="s">
        <v>256</v>
      </c>
      <c r="C7" s="179">
        <f>'Revenue - Summer'!B128</f>
        <v>13825947.495162588</v>
      </c>
      <c r="D7" s="179">
        <f>'Revenue - Summer'!C128</f>
        <v>25973819.718948215</v>
      </c>
      <c r="E7" s="179">
        <f>'Revenue - Summer'!D128</f>
        <v>31451333.241228424</v>
      </c>
    </row>
    <row r="8" spans="1:5" ht="12.75">
      <c r="A8" s="1"/>
      <c r="B8" s="182"/>
      <c r="C8" s="179"/>
      <c r="D8" s="179"/>
      <c r="E8" s="179"/>
    </row>
    <row r="9" spans="1:5" ht="12.75">
      <c r="A9" s="1" t="s">
        <v>172</v>
      </c>
      <c r="B9" s="182" t="s">
        <v>257</v>
      </c>
      <c r="C9" s="179">
        <f>'Revenue - Winter'!B93</f>
        <v>1313394.5204737054</v>
      </c>
      <c r="D9" s="179">
        <f>'Revenue - Winter'!C93</f>
        <v>2188990.8674561754</v>
      </c>
      <c r="E9" s="179">
        <f>'Revenue - Winter'!D93</f>
        <v>3064587.214438646</v>
      </c>
    </row>
    <row r="10" spans="1:5" ht="12.75">
      <c r="A10" s="1"/>
      <c r="B10" s="182"/>
      <c r="C10" s="179"/>
      <c r="D10" s="179"/>
      <c r="E10" s="179"/>
    </row>
    <row r="11" spans="1:5" ht="12.75">
      <c r="A11" s="1" t="s">
        <v>173</v>
      </c>
      <c r="B11" s="182" t="s">
        <v>258</v>
      </c>
      <c r="C11" s="179">
        <f>'Revenue - Private Rail'!B31</f>
        <v>1347840</v>
      </c>
      <c r="D11" s="179">
        <f>'Revenue - Private Rail'!C31</f>
        <v>1797120</v>
      </c>
      <c r="E11" s="179">
        <f>'Revenue - Private Rail'!D31</f>
        <v>2246400</v>
      </c>
    </row>
    <row r="12" spans="1:5" ht="12.75">
      <c r="A12" s="176"/>
      <c r="B12" s="176"/>
      <c r="C12" s="177"/>
      <c r="D12" s="177"/>
      <c r="E12" s="177"/>
    </row>
    <row r="13" spans="1:5" ht="12.75">
      <c r="A13" s="178" t="s">
        <v>174</v>
      </c>
      <c r="B13" s="178"/>
      <c r="C13" s="180">
        <f>SUM(C7:C12)</f>
        <v>16487182.015636293</v>
      </c>
      <c r="D13" s="180">
        <f>SUM(D7:D12)</f>
        <v>29959930.58640439</v>
      </c>
      <c r="E13" s="180">
        <f>SUM(E7:E12)</f>
        <v>36762320.45566707</v>
      </c>
    </row>
    <row r="17" spans="1:2" ht="12.75">
      <c r="A17" s="3" t="s">
        <v>176</v>
      </c>
      <c r="B17" s="3"/>
    </row>
    <row r="18" spans="1:5" ht="12.75">
      <c r="A18" s="1" t="s">
        <v>171</v>
      </c>
      <c r="B18" s="182" t="s">
        <v>257</v>
      </c>
      <c r="C18" s="179">
        <f>'Revenue - Summer'!F128</f>
        <v>9236913.91955038</v>
      </c>
      <c r="D18" s="179">
        <f>'Revenue - Summer'!G128</f>
        <v>16033150.438207544</v>
      </c>
      <c r="E18" s="179">
        <f>'Revenue - Summer'!H128</f>
        <v>19124675.14600562</v>
      </c>
    </row>
    <row r="19" spans="1:5" ht="12.75">
      <c r="A19" s="1"/>
      <c r="B19" s="182"/>
      <c r="C19" s="179"/>
      <c r="D19" s="179"/>
      <c r="E19" s="179"/>
    </row>
    <row r="20" spans="1:5" ht="12.75">
      <c r="A20" s="1" t="s">
        <v>172</v>
      </c>
      <c r="B20" s="182" t="s">
        <v>259</v>
      </c>
      <c r="C20" s="179">
        <f>'Revenue - Winter'!B93</f>
        <v>1313394.5204737054</v>
      </c>
      <c r="D20" s="179">
        <f>'Revenue - Winter'!C93</f>
        <v>2188990.8674561754</v>
      </c>
      <c r="E20" s="179">
        <f>'Revenue - Winter'!D93</f>
        <v>3064587.214438646</v>
      </c>
    </row>
    <row r="21" spans="1:5" ht="12.75">
      <c r="A21" s="1"/>
      <c r="B21" s="182"/>
      <c r="C21" s="179"/>
      <c r="D21" s="179"/>
      <c r="E21" s="179"/>
    </row>
    <row r="22" spans="1:5" ht="12.75">
      <c r="A22" s="1" t="s">
        <v>173</v>
      </c>
      <c r="B22" s="182" t="s">
        <v>260</v>
      </c>
      <c r="C22" s="179">
        <f>'Revenue - Private Rail'!B31</f>
        <v>1347840</v>
      </c>
      <c r="D22" s="179">
        <f>'Revenue - Private Rail'!C31</f>
        <v>1797120</v>
      </c>
      <c r="E22" s="179">
        <f>'Revenue - Private Rail'!D31</f>
        <v>2246400</v>
      </c>
    </row>
    <row r="23" spans="1:5" ht="12.75">
      <c r="A23" s="176"/>
      <c r="B23" s="176"/>
      <c r="C23" s="177"/>
      <c r="D23" s="177"/>
      <c r="E23" s="177"/>
    </row>
    <row r="24" spans="1:5" ht="12.75">
      <c r="A24" s="178" t="s">
        <v>174</v>
      </c>
      <c r="B24" s="178"/>
      <c r="C24" s="180">
        <f>SUM(C18:C23)</f>
        <v>11898148.440024085</v>
      </c>
      <c r="D24" s="180">
        <f>SUM(D18:D23)</f>
        <v>20019261.30566372</v>
      </c>
      <c r="E24" s="180">
        <f>SUM(E18:E23)</f>
        <v>24435662.360444266</v>
      </c>
    </row>
  </sheetData>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Mary Klugherz</cp:lastModifiedBy>
  <cp:lastPrinted>2006-06-22T21:55:05Z</cp:lastPrinted>
  <dcterms:created xsi:type="dcterms:W3CDTF">1996-10-14T23:33:28Z</dcterms:created>
  <dcterms:modified xsi:type="dcterms:W3CDTF">2006-06-22T21:57:02Z</dcterms:modified>
  <cp:category/>
  <cp:version/>
  <cp:contentType/>
  <cp:contentStatus/>
</cp:coreProperties>
</file>