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005" windowHeight="1164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Costs'!$B$3:$V$90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<sst xmlns="http://schemas.openxmlformats.org/spreadsheetml/2006/main" count="241" uniqueCount="165">
  <si>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</si>
  <si>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</si>
  <si>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</si>
  <si>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</si>
  <si>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</si>
  <si>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</si>
  <si>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</si>
  <si>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</si>
  <si>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</si>
  <si>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</si>
  <si>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</si>
  <si>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</si>
  <si>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</si>
  <si>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</si>
  <si>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</si>
  <si>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</si>
  <si>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</si>
  <si>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</si>
  <si>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</si>
  <si>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</si>
  <si>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</si>
  <si>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</si>
  <si>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</si>
  <si>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</si>
  <si>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</si>
  <si>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</si>
  <si>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</si>
  <si>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</si>
  <si>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</si>
  <si>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</si>
  <si>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</si>
  <si>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</si>
  <si>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</si>
  <si>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</si>
  <si>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</si>
  <si>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</si>
  <si>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</si>
  <si>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</si>
  <si>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</si>
  <si>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</si>
  <si>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</si>
  <si>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</si>
  <si>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</si>
  <si>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</si>
  <si>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</si>
  <si>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</si>
  <si>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</si>
  <si>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</si>
  <si>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</si>
  <si>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</si>
  <si>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</si>
  <si>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</si>
  <si>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</si>
  <si>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</si>
  <si>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</si>
  <si>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</si>
  <si>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</si>
  <si>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</si>
  <si>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</si>
  <si>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</si>
  <si>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</si>
  <si>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</si>
  <si>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</si>
  <si>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</si>
  <si>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</si>
  <si>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</si>
  <si>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</si>
  <si>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</si>
  <si>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</si>
  <si>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</si>
  <si>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</si>
  <si>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</si>
  <si>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</si>
  <si>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</si>
  <si>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</si>
  <si>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</si>
  <si>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</si>
  <si>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</si>
  <si>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</si>
  <si>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</si>
  <si>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</si>
  <si>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</si>
  <si>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</si>
  <si>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</si>
  <si>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</si>
  <si>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</si>
  <si>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</si>
  <si>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</si>
  <si>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</si>
  <si>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</si>
  <si>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</si>
  <si>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</si>
  <si>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</si>
  <si>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</si>
  <si>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</si>
  <si>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6ea</t>
  </si>
  <si>
    <t>liters</t>
  </si>
  <si>
    <t>Channel Armouring</t>
  </si>
  <si>
    <t>Edm to Dawson City charter flight + DC to Site by charter bus.  1 flight/man every two weeks.</t>
  </si>
  <si>
    <t>Rip-rap - 800 mm dia.</t>
  </si>
  <si>
    <t>Edmonton to Dawson City 2,519km. Dawson City to Site approx 110km. 2ea D9 dozer , 1ea grader, 1ea 70ton excavator, 2ea wheel loader, 8ea 50ton rock truck.</t>
  </si>
  <si>
    <t>n/a</t>
  </si>
  <si>
    <t>Subcontract Costs/Unit ($)</t>
  </si>
  <si>
    <t>Subcontract Total ($)</t>
  </si>
  <si>
    <t xml:space="preserve"> *fuel included  in all-in rates.</t>
  </si>
  <si>
    <t>EA</t>
  </si>
  <si>
    <t>Bulk Earthworks</t>
  </si>
  <si>
    <t>Water Diversion</t>
  </si>
  <si>
    <t>Aquadam - supply &amp; install</t>
  </si>
  <si>
    <t>LM</t>
  </si>
  <si>
    <t>Trench 1.6m dp, BF 1m cover, supply &amp; install.</t>
  </si>
  <si>
    <t>6' x 100' lg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</si>
  <si>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</si>
  <si>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</si>
  <si>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</si>
  <si>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</si>
  <si>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</si>
  <si>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</si>
  <si>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Waste dump to porcupine pit</t>
  </si>
  <si>
    <t>Waste rock</t>
  </si>
  <si>
    <t>610mm HDPE DR21 pipe</t>
  </si>
  <si>
    <t>Shop truck</t>
  </si>
  <si>
    <t>Temp maintenance shop</t>
  </si>
  <si>
    <t>Shop trailer</t>
  </si>
  <si>
    <t>Fuel bowser</t>
  </si>
  <si>
    <t>Pick-up trucks</t>
  </si>
  <si>
    <t>Portable light towers</t>
  </si>
  <si>
    <t>Heavy duty mechanic</t>
  </si>
  <si>
    <t>Fuel truck &amp; driver</t>
  </si>
  <si>
    <t>Load, haul, place &amp; compact</t>
  </si>
  <si>
    <t>1ea</t>
  </si>
  <si>
    <t xml:space="preserve"> *During Road Improvements, Quarry Development &amp; Creek Stabiliztion Work.</t>
  </si>
  <si>
    <t>1ea/shift</t>
  </si>
  <si>
    <t>2ea/shift</t>
  </si>
  <si>
    <t>40 man temporary camp x 2.75mo.</t>
  </si>
  <si>
    <t>Granular filter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</si>
  <si>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</si>
  <si>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</si>
  <si>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</si>
  <si>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</si>
  <si>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</si>
  <si>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</si>
  <si>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</si>
  <si>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</si>
  <si>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Camp  Op &amp; Maintenance</t>
  </si>
  <si>
    <t>Sum of labour cost</t>
  </si>
  <si>
    <t>% labour of</t>
  </si>
  <si>
    <t>all-in rate</t>
  </si>
  <si>
    <t>Total</t>
  </si>
  <si>
    <t>total labour</t>
  </si>
  <si>
    <t>Engineering</t>
  </si>
  <si>
    <t>Equip Maintenance</t>
  </si>
  <si>
    <t>Equip Op</t>
  </si>
  <si>
    <t>Equip Op / Equip Maintenance</t>
  </si>
  <si>
    <t>Equip Op / Labour</t>
  </si>
  <si>
    <t>Equip Op / Welders / Labour</t>
  </si>
  <si>
    <t>Labour</t>
  </si>
  <si>
    <t>Grand Total</t>
  </si>
  <si>
    <t>(blank)</t>
  </si>
  <si>
    <t>Labour Type List Source</t>
  </si>
  <si>
    <t>labour % of total labour cost</t>
  </si>
  <si>
    <t>Camp Op &amp; Maintenance</t>
  </si>
  <si>
    <t xml:space="preserve"> * Contingency not included.</t>
  </si>
  <si>
    <t>Assessment and Abandoned Mines</t>
  </si>
  <si>
    <t>Clinton Creek Site LCCA - Option CC-A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</si>
</sst>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9" fontId="26" fillId="0" borderId="0" xfId="101" applyFont="1" applyFill="1" applyAlignment="1">
      <alignment horizontal="center"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0" fontId="0" fillId="46" borderId="27" xfId="0" applyFill="1" applyBorder="1" applyAlignment="1">
      <alignment/>
    </xf>
    <xf numFmtId="0" fontId="0" fillId="0" borderId="0" xfId="0" applyFill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165" fontId="0" fillId="46" borderId="27" xfId="63" applyFont="1" applyFill="1" applyBorder="1" applyAlignment="1">
      <alignment/>
    </xf>
    <xf numFmtId="9" fontId="0" fillId="46" borderId="27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9" fontId="0" fillId="0" borderId="0" xfId="101" applyFont="1" applyFill="1" applyAlignment="1">
      <alignment horizontal="right" vertical="center"/>
    </xf>
    <xf numFmtId="9" fontId="26" fillId="0" borderId="0" xfId="101" applyFont="1" applyFill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46" borderId="0" xfId="0" applyFill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76200</xdr:rowOff>
    </xdr:from>
    <xdr:to>
      <xdr:col>21</xdr:col>
      <xdr:colOff>762000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619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87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Labour"/>
        <s v="Equip Maintenance"/>
        <s v="Camp  Op &amp; Maintenance"/>
        <s v="Equip Op / Labour"/>
        <s v="Engineering"/>
      </sharedItems>
    </cacheField>
    <cacheField name="% labour">
      <sharedItems containsString="0" containsBlank="1" containsMixedTypes="0" containsNumber="1" count="14">
        <m/>
        <n v="0.35"/>
        <n v="0.33"/>
        <n v="0.26"/>
        <n v="0.48"/>
        <n v="0.5"/>
        <n v="0"/>
        <n v="1"/>
        <n v="0.1"/>
        <n v="0.6"/>
        <n v="0.2"/>
        <n v="0.95"/>
        <n v="0.05"/>
        <n v="0.4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7"/>
        <item sd="0" x="9"/>
        <item sd="0" x="6"/>
        <item sd="0" x="2"/>
        <item sd="0" x="4"/>
        <item sd="0" x="8"/>
        <item sd="0" x="3"/>
        <item sd="0" x="5"/>
        <item sd="0" x="1"/>
        <item sd="0" x="0"/>
      </items>
    </pivotField>
    <pivotField axis="axisRow" compact="0" outline="0" subtotalTop="0" showAll="0" defaultSubtotal="0">
      <items count="14">
        <item x="6"/>
        <item m="1" x="12"/>
        <item x="8"/>
        <item x="10"/>
        <item x="3"/>
        <item x="2"/>
        <item x="1"/>
        <item m="1" x="13"/>
        <item x="4"/>
        <item x="5"/>
        <item x="9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3" sqref="E13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\\WorleyParsons.com\CA\Data\YVR\307071\00895_YEMR_ClintonCrk\02_Rpts\11_Eng-Tech_Rpt_and_Studies\307071-00895-00-WR-REP-0001_Rev0\Excel and CAD files\Appendix 3\Clinton CAPEX\[307071-00895-Clinton Creek LCCA-Option A-11032014.xls]Summary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CC-A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Costs'!S60,-3)</f>
        <v>6927000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Costs'!S81,-3)</f>
        <v>2692000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Costs'!S85,-3)</f>
        <v>962000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Costs'!S86,-3)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Costs'!S87,-3)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10581000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0.24997637274359702</v>
      </c>
      <c r="E24" s="34">
        <f>ROUND('Detail Costs'!U90,-3)</f>
        <v>2645000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13226000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tabSelected="1" zoomScale="70" zoomScaleNormal="70" zoomScalePageLayoutView="0" workbookViewId="0" topLeftCell="A1">
      <selection activeCell="X5" sqref="X5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0.8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3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9.16015625" style="4" customWidth="1"/>
    <col min="25" max="25" width="9.83203125" style="1" customWidth="1"/>
    <col min="26" max="26" width="9.33203125" style="1" customWidth="1"/>
    <col min="27" max="27" width="19" style="1" customWidth="1"/>
    <col min="28" max="28" width="9.33203125" style="1" customWidth="1"/>
    <col min="29" max="29" width="13.33203125" style="1" bestFit="1" customWidth="1"/>
    <col min="30" max="16384" width="9.33203125" style="1" customWidth="1"/>
  </cols>
  <sheetData>
    <row r="1" spans="1:17" ht="11.25">
      <c r="A1" s="1" t="str">
        <f ca="1">CELL("filename",A1)</f>
        <v>\\WorleyParsons.com\CA\Data\YVR\307071\00895_YEMR_ClintonCrk\02_Rpts\11_Eng-Tech_Rpt_and_Studies\307071-00895-00-WR-REP-0001_Rev0\Excel and CAD files\Appendix 3\Clinton CAPEX\[307071-00895-Clinton Creek LCCA-Option A-11032014.xls]Detail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5"/>
      <c r="Y3" s="6"/>
    </row>
    <row r="4" spans="5:25" ht="11.25">
      <c r="E4" s="5"/>
      <c r="Q4" s="44"/>
      <c r="X4" s="75"/>
      <c r="Y4" s="32"/>
    </row>
    <row r="5" spans="2:22" ht="15.75" customHeight="1">
      <c r="B5" s="15"/>
      <c r="C5" s="18" t="s">
        <v>7</v>
      </c>
      <c r="D5" s="8" t="s">
        <v>163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164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6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102</v>
      </c>
      <c r="N10" s="22" t="s">
        <v>103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7"/>
      <c r="AB10" s="78"/>
      <c r="AC10" s="79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0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0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0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5">F14*H14</f>
        <v>0</v>
      </c>
      <c r="J14" s="13">
        <f aca="true" t="shared" si="1" ref="J14:J36">I14*$L$8</f>
        <v>0</v>
      </c>
      <c r="K14" s="13"/>
      <c r="L14" s="13">
        <f aca="true" t="shared" si="2" ref="L14:L35">F14*K14</f>
        <v>0</v>
      </c>
      <c r="M14" s="13"/>
      <c r="N14" s="13">
        <f aca="true" t="shared" si="3" ref="N14:N35">F14*M14</f>
        <v>0</v>
      </c>
      <c r="O14" s="13"/>
      <c r="P14" s="13">
        <f aca="true" t="shared" si="4" ref="P14:P35">F14*O14</f>
        <v>0</v>
      </c>
      <c r="Q14" s="38"/>
      <c r="R14" s="13">
        <f aca="true" t="shared" si="5" ref="R14:R35">(J14+L14+N14+P14)*Q14</f>
        <v>0</v>
      </c>
      <c r="S14" s="13">
        <f aca="true" t="shared" si="6" ref="S14:S35">J14+L14+N14+P14+R14</f>
        <v>0</v>
      </c>
      <c r="T14" s="38"/>
      <c r="U14" s="13">
        <f aca="true" t="shared" si="7" ref="U14:U35">S14*T14</f>
        <v>0</v>
      </c>
      <c r="V14" s="13">
        <f aca="true" t="shared" si="8" ref="V14:V35">S14+U14</f>
        <v>0</v>
      </c>
      <c r="W14" s="3"/>
      <c r="X14" s="3"/>
      <c r="Y14" s="3"/>
    </row>
    <row r="15" spans="1:29" s="4" customFormat="1" ht="23.25" customHeight="1">
      <c r="A15" s="50">
        <v>1.02</v>
      </c>
      <c r="B15" s="3"/>
      <c r="C15" s="37"/>
      <c r="D15" s="59" t="s">
        <v>70</v>
      </c>
      <c r="E15" s="73" t="s">
        <v>100</v>
      </c>
      <c r="F15" s="64">
        <v>14</v>
      </c>
      <c r="G15" s="57" t="s">
        <v>105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((14*9361.68)+(0*28763.28))*2/F15</f>
        <v>18723.36</v>
      </c>
      <c r="N15" s="13">
        <f t="shared" si="3"/>
        <v>262127.04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262127.04</v>
      </c>
      <c r="T15" s="38">
        <v>0.25</v>
      </c>
      <c r="U15" s="13">
        <f t="shared" si="7"/>
        <v>65531.76</v>
      </c>
      <c r="V15" s="13">
        <f t="shared" si="8"/>
        <v>327658.8</v>
      </c>
      <c r="W15" s="3"/>
      <c r="X15" s="3"/>
      <c r="Y15" s="3"/>
      <c r="AB15" s="43"/>
      <c r="AC15" s="80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0"/>
    </row>
    <row r="17" spans="1:29" s="4" customFormat="1" ht="11.25">
      <c r="A17" s="50">
        <v>1.04</v>
      </c>
      <c r="B17" s="3"/>
      <c r="C17" s="37"/>
      <c r="D17" s="59" t="s">
        <v>81</v>
      </c>
      <c r="E17" s="37" t="s">
        <v>82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0"/>
    </row>
    <row r="18" spans="1:29" s="4" customFormat="1" ht="11.25">
      <c r="A18" s="50">
        <v>1.05</v>
      </c>
      <c r="B18" s="3"/>
      <c r="C18" s="37"/>
      <c r="D18" s="56" t="s">
        <v>86</v>
      </c>
      <c r="E18" s="37" t="s">
        <v>85</v>
      </c>
      <c r="F18" s="64">
        <v>9</v>
      </c>
      <c r="G18" s="57" t="s">
        <v>83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0"/>
    </row>
    <row r="19" spans="1:29" s="4" customFormat="1" ht="22.5">
      <c r="A19" s="50">
        <v>1.06</v>
      </c>
      <c r="B19" s="3"/>
      <c r="C19" s="37"/>
      <c r="D19" s="56" t="s">
        <v>88</v>
      </c>
      <c r="E19" s="37" t="s">
        <v>90</v>
      </c>
      <c r="F19" s="64">
        <f>4*2*15000</f>
        <v>120000</v>
      </c>
      <c r="G19" s="57" t="s">
        <v>84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0"/>
    </row>
    <row r="20" spans="1:29" s="4" customFormat="1" ht="11.25">
      <c r="A20" s="50">
        <v>1.07</v>
      </c>
      <c r="B20" s="3"/>
      <c r="C20" s="37"/>
      <c r="D20" s="56" t="s">
        <v>87</v>
      </c>
      <c r="E20" s="37" t="s">
        <v>92</v>
      </c>
      <c r="F20" s="64">
        <f>5*15000*0.15</f>
        <v>11250</v>
      </c>
      <c r="G20" s="57" t="s">
        <v>84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0"/>
    </row>
    <row r="21" spans="1:29" s="4" customFormat="1" ht="22.5">
      <c r="A21" s="50">
        <v>1.08</v>
      </c>
      <c r="B21" s="3"/>
      <c r="C21" s="37"/>
      <c r="D21" s="56" t="s">
        <v>91</v>
      </c>
      <c r="E21" s="37" t="s">
        <v>89</v>
      </c>
      <c r="F21" s="64">
        <f>8*15000*0.1</f>
        <v>12000</v>
      </c>
      <c r="G21" s="57" t="s">
        <v>84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37.22+71.16+39.93+12.57</f>
        <v>160.88</v>
      </c>
      <c r="N21" s="13">
        <f t="shared" si="11"/>
        <v>1930560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1930560</v>
      </c>
      <c r="T21" s="38">
        <v>0.25</v>
      </c>
      <c r="U21" s="13">
        <f t="shared" si="15"/>
        <v>482640</v>
      </c>
      <c r="V21" s="13">
        <f t="shared" si="16"/>
        <v>2413200</v>
      </c>
      <c r="W21" s="3"/>
      <c r="X21" s="3"/>
      <c r="Y21" s="3"/>
      <c r="AB21" s="43"/>
      <c r="AC21" s="80"/>
    </row>
    <row r="22" spans="1:29" s="4" customFormat="1" ht="22.5">
      <c r="A22" s="50">
        <v>1.09</v>
      </c>
      <c r="B22" s="3"/>
      <c r="C22" s="37"/>
      <c r="D22" s="56" t="s">
        <v>116</v>
      </c>
      <c r="E22" s="37" t="s">
        <v>115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0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0"/>
    </row>
    <row r="24" spans="1:29" s="4" customFormat="1" ht="11.25">
      <c r="A24" s="50">
        <v>1.11</v>
      </c>
      <c r="B24" s="3"/>
      <c r="C24" s="37"/>
      <c r="D24" s="59" t="s">
        <v>106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0"/>
    </row>
    <row r="25" spans="1:29" s="4" customFormat="1" ht="11.25">
      <c r="A25" s="50">
        <v>1.12</v>
      </c>
      <c r="B25" s="3"/>
      <c r="C25" s="37"/>
      <c r="D25" s="56" t="s">
        <v>118</v>
      </c>
      <c r="E25" s="37"/>
      <c r="F25" s="64">
        <v>50000</v>
      </c>
      <c r="G25" s="57" t="s">
        <v>84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4.9</v>
      </c>
      <c r="N25" s="13">
        <f t="shared" si="3"/>
        <v>245000.00000000003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245000.00000000003</v>
      </c>
      <c r="T25" s="38">
        <v>0.25</v>
      </c>
      <c r="U25" s="13">
        <f t="shared" si="7"/>
        <v>61250.00000000001</v>
      </c>
      <c r="V25" s="13">
        <f t="shared" si="8"/>
        <v>306250.00000000006</v>
      </c>
      <c r="W25" s="3"/>
      <c r="X25" s="3"/>
      <c r="Y25" s="3"/>
      <c r="AB25" s="43"/>
      <c r="AC25" s="80"/>
    </row>
    <row r="26" spans="1:29" s="4" customFormat="1" ht="11.25">
      <c r="A26" s="50">
        <v>1.13</v>
      </c>
      <c r="B26" s="3"/>
      <c r="C26" s="37"/>
      <c r="D26" s="56"/>
      <c r="E26" s="37"/>
      <c r="F26" s="64"/>
      <c r="G26" s="57"/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13"/>
      <c r="N26" s="13">
        <f t="shared" si="3"/>
        <v>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0</v>
      </c>
      <c r="T26" s="38"/>
      <c r="U26" s="13">
        <f t="shared" si="7"/>
        <v>0</v>
      </c>
      <c r="V26" s="13">
        <f t="shared" si="8"/>
        <v>0</v>
      </c>
      <c r="W26" s="3"/>
      <c r="X26" s="3"/>
      <c r="Y26" s="3"/>
      <c r="AB26" s="43"/>
      <c r="AC26" s="80"/>
    </row>
    <row r="27" spans="1:29" s="4" customFormat="1" ht="11.25">
      <c r="A27" s="50">
        <v>1.14</v>
      </c>
      <c r="B27" s="3"/>
      <c r="C27" s="37"/>
      <c r="D27" s="59" t="s">
        <v>97</v>
      </c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0"/>
    </row>
    <row r="28" spans="1:29" s="4" customFormat="1" ht="33.75">
      <c r="A28" s="50">
        <v>1.15</v>
      </c>
      <c r="B28" s="3"/>
      <c r="C28" s="37"/>
      <c r="D28" s="56" t="s">
        <v>99</v>
      </c>
      <c r="E28" s="37" t="s">
        <v>94</v>
      </c>
      <c r="F28" s="64">
        <v>3000</v>
      </c>
      <c r="G28" s="57" t="s">
        <v>84</v>
      </c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62">
        <f>10.04+65.45+39.93+5.51+20.34</f>
        <v>141.27</v>
      </c>
      <c r="N28" s="13">
        <f t="shared" si="3"/>
        <v>423810.00000000006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423810.00000000006</v>
      </c>
      <c r="T28" s="38">
        <v>0.25</v>
      </c>
      <c r="U28" s="13">
        <f t="shared" si="7"/>
        <v>105952.50000000001</v>
      </c>
      <c r="V28" s="13">
        <f t="shared" si="8"/>
        <v>529762.5000000001</v>
      </c>
      <c r="W28" s="3"/>
      <c r="X28" s="3"/>
      <c r="Y28" s="3"/>
      <c r="AB28" s="43"/>
      <c r="AC28" s="80"/>
    </row>
    <row r="29" spans="1:29" s="4" customFormat="1" ht="22.5">
      <c r="A29" s="50">
        <v>1.16</v>
      </c>
      <c r="B29" s="3"/>
      <c r="C29" s="37"/>
      <c r="D29" s="56" t="s">
        <v>135</v>
      </c>
      <c r="E29" s="37" t="s">
        <v>89</v>
      </c>
      <c r="F29" s="64">
        <v>2200</v>
      </c>
      <c r="G29" s="57" t="s">
        <v>84</v>
      </c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62">
        <f>37.22+71.16+39.93+9.04</f>
        <v>157.35</v>
      </c>
      <c r="N29" s="13">
        <f t="shared" si="3"/>
        <v>346170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346170</v>
      </c>
      <c r="T29" s="38">
        <v>0.25</v>
      </c>
      <c r="U29" s="13">
        <f t="shared" si="7"/>
        <v>86542.5</v>
      </c>
      <c r="V29" s="13">
        <f t="shared" si="8"/>
        <v>432712.5</v>
      </c>
      <c r="W29" s="3"/>
      <c r="X29" s="3"/>
      <c r="Y29" s="3"/>
      <c r="AB29" s="43"/>
      <c r="AC29" s="80"/>
    </row>
    <row r="30" spans="1:29" s="4" customFormat="1" ht="11.25">
      <c r="A30" s="50">
        <v>1.17</v>
      </c>
      <c r="B30" s="3"/>
      <c r="C30" s="37"/>
      <c r="D30" s="56" t="s">
        <v>119</v>
      </c>
      <c r="E30" s="37" t="s">
        <v>129</v>
      </c>
      <c r="F30" s="64">
        <v>3000</v>
      </c>
      <c r="G30" s="57" t="s">
        <v>84</v>
      </c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62">
        <f>4.9+5.22</f>
        <v>10.120000000000001</v>
      </c>
      <c r="N30" s="13">
        <f t="shared" si="3"/>
        <v>30360.000000000004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30360.000000000004</v>
      </c>
      <c r="T30" s="38">
        <v>0.25</v>
      </c>
      <c r="U30" s="13">
        <f t="shared" si="7"/>
        <v>7590.000000000001</v>
      </c>
      <c r="V30" s="13">
        <f t="shared" si="8"/>
        <v>37950.00000000001</v>
      </c>
      <c r="W30" s="3"/>
      <c r="X30" s="3"/>
      <c r="Y30" s="3"/>
      <c r="AB30" s="43"/>
      <c r="AC30" s="80"/>
    </row>
    <row r="31" spans="1:29" s="4" customFormat="1" ht="11.25">
      <c r="A31" s="50">
        <v>1.18</v>
      </c>
      <c r="B31" s="3"/>
      <c r="C31" s="37"/>
      <c r="D31" s="56"/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0"/>
    </row>
    <row r="32" spans="1:29" s="4" customFormat="1" ht="11.25">
      <c r="A32" s="50">
        <v>1.19</v>
      </c>
      <c r="B32" s="3"/>
      <c r="C32" s="37"/>
      <c r="D32" s="59" t="s">
        <v>107</v>
      </c>
      <c r="E32" s="37"/>
      <c r="F32" s="64"/>
      <c r="G32" s="57"/>
      <c r="H32" s="13"/>
      <c r="I32" s="13">
        <f>F32*H32</f>
        <v>0</v>
      </c>
      <c r="J32" s="13">
        <f t="shared" si="1"/>
        <v>0</v>
      </c>
      <c r="K32" s="13"/>
      <c r="L32" s="13">
        <f>F32*K32</f>
        <v>0</v>
      </c>
      <c r="M32" s="13"/>
      <c r="N32" s="13">
        <f>F32*M32</f>
        <v>0</v>
      </c>
      <c r="O32" s="13"/>
      <c r="P32" s="13">
        <f>F32*O32</f>
        <v>0</v>
      </c>
      <c r="Q32" s="38"/>
      <c r="R32" s="13">
        <f>(J32+L32+N32+P32)*Q32</f>
        <v>0</v>
      </c>
      <c r="S32" s="13">
        <f>J32+L32+N32+P32+R32</f>
        <v>0</v>
      </c>
      <c r="T32" s="38"/>
      <c r="U32" s="13">
        <f>S32*T32</f>
        <v>0</v>
      </c>
      <c r="V32" s="13">
        <f>S32+U32</f>
        <v>0</v>
      </c>
      <c r="W32" s="3"/>
      <c r="X32" s="3"/>
      <c r="Y32" s="3"/>
      <c r="AB32" s="43"/>
      <c r="AC32" s="80"/>
    </row>
    <row r="33" spans="1:29" s="4" customFormat="1" ht="11.25">
      <c r="A33" s="50">
        <v>1.2</v>
      </c>
      <c r="B33" s="3"/>
      <c r="C33" s="37"/>
      <c r="D33" s="56" t="s">
        <v>108</v>
      </c>
      <c r="E33" s="37" t="s">
        <v>111</v>
      </c>
      <c r="F33" s="64">
        <v>1</v>
      </c>
      <c r="G33" s="57" t="s">
        <v>105</v>
      </c>
      <c r="H33" s="13"/>
      <c r="I33" s="13">
        <f>F33*H33</f>
        <v>0</v>
      </c>
      <c r="J33" s="13">
        <f t="shared" si="1"/>
        <v>0</v>
      </c>
      <c r="K33" s="13"/>
      <c r="L33" s="13">
        <f>F33*K33</f>
        <v>0</v>
      </c>
      <c r="M33" s="62">
        <v>26000</v>
      </c>
      <c r="N33" s="13">
        <f>F33*M33</f>
        <v>26000</v>
      </c>
      <c r="O33" s="13"/>
      <c r="P33" s="13">
        <f>F33*O33</f>
        <v>0</v>
      </c>
      <c r="Q33" s="38"/>
      <c r="R33" s="13">
        <f>(J33+L33+N33+P33)*Q33</f>
        <v>0</v>
      </c>
      <c r="S33" s="13">
        <f>J33+L33+N33+P33+R33</f>
        <v>26000</v>
      </c>
      <c r="T33" s="38">
        <v>0.25</v>
      </c>
      <c r="U33" s="13">
        <f>S33*T33</f>
        <v>6500</v>
      </c>
      <c r="V33" s="13">
        <f>S33+U33</f>
        <v>32500</v>
      </c>
      <c r="W33" s="3"/>
      <c r="X33" s="3"/>
      <c r="Y33" s="3"/>
      <c r="AB33" s="43"/>
      <c r="AC33" s="80"/>
    </row>
    <row r="34" spans="1:29" s="4" customFormat="1" ht="22.5">
      <c r="A34" s="50">
        <v>1.21</v>
      </c>
      <c r="B34" s="3"/>
      <c r="C34" s="37"/>
      <c r="D34" s="56" t="s">
        <v>120</v>
      </c>
      <c r="E34" s="37" t="s">
        <v>110</v>
      </c>
      <c r="F34" s="64">
        <v>500</v>
      </c>
      <c r="G34" s="57" t="s">
        <v>109</v>
      </c>
      <c r="H34" s="65"/>
      <c r="I34" s="13">
        <f>F34*H34</f>
        <v>0</v>
      </c>
      <c r="J34" s="13">
        <f t="shared" si="1"/>
        <v>0</v>
      </c>
      <c r="K34" s="65"/>
      <c r="L34" s="13">
        <f>F34*K34</f>
        <v>0</v>
      </c>
      <c r="M34" s="65">
        <f>(7.31*100)+204.27+(4.48*4.38)+25.18</f>
        <v>980.0723999999999</v>
      </c>
      <c r="N34" s="13">
        <f>F34*M34</f>
        <v>490036.19999999995</v>
      </c>
      <c r="O34" s="13"/>
      <c r="P34" s="13">
        <f>F34*O34</f>
        <v>0</v>
      </c>
      <c r="Q34" s="38"/>
      <c r="R34" s="13">
        <f>(J34+L34+N34+P34)*Q34</f>
        <v>0</v>
      </c>
      <c r="S34" s="13">
        <f>J34+L34+N34+P34+R34</f>
        <v>490036.19999999995</v>
      </c>
      <c r="T34" s="38">
        <v>0.25</v>
      </c>
      <c r="U34" s="13">
        <f>S34*T34</f>
        <v>122509.04999999999</v>
      </c>
      <c r="V34" s="13">
        <f>S34+U34</f>
        <v>612545.25</v>
      </c>
      <c r="W34" s="3"/>
      <c r="X34" s="3"/>
      <c r="Y34" s="3"/>
      <c r="AB34" s="43"/>
      <c r="AC34" s="80"/>
    </row>
    <row r="35" spans="1:29" s="4" customFormat="1" ht="11.25">
      <c r="A35" s="50">
        <v>1.22</v>
      </c>
      <c r="B35" s="3"/>
      <c r="C35" s="37"/>
      <c r="D35" s="56"/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0"/>
    </row>
    <row r="36" spans="1:29" s="4" customFormat="1" ht="11.25">
      <c r="A36" s="50">
        <v>1.23</v>
      </c>
      <c r="B36" s="3"/>
      <c r="C36" s="37"/>
      <c r="D36" s="59" t="s">
        <v>71</v>
      </c>
      <c r="E36" s="37"/>
      <c r="F36" s="64"/>
      <c r="G36" s="57"/>
      <c r="H36" s="13"/>
      <c r="I36" s="13">
        <f aca="true" t="shared" si="17" ref="I36:I59">F36*H36</f>
        <v>0</v>
      </c>
      <c r="J36" s="13">
        <f t="shared" si="1"/>
        <v>0</v>
      </c>
      <c r="K36" s="13"/>
      <c r="L36" s="13">
        <f aca="true" t="shared" si="18" ref="L36:L59">F36*K36</f>
        <v>0</v>
      </c>
      <c r="M36" s="13"/>
      <c r="N36" s="13">
        <f aca="true" t="shared" si="19" ref="N36:N59">F36*M36</f>
        <v>0</v>
      </c>
      <c r="O36" s="13"/>
      <c r="P36" s="13">
        <f aca="true" t="shared" si="20" ref="P36:P59">F36*O36</f>
        <v>0</v>
      </c>
      <c r="Q36" s="38"/>
      <c r="R36" s="13">
        <f aca="true" t="shared" si="21" ref="R36:R59">(J36+L36+N36+P36)*Q36</f>
        <v>0</v>
      </c>
      <c r="S36" s="13">
        <f aca="true" t="shared" si="22" ref="S36:S59">J36+L36+N36+P36+R36</f>
        <v>0</v>
      </c>
      <c r="T36" s="38"/>
      <c r="U36" s="13">
        <f aca="true" t="shared" si="23" ref="U36:U59">S36*T36</f>
        <v>0</v>
      </c>
      <c r="V36" s="13">
        <f aca="true" t="shared" si="24" ref="V36:V59">S36+U36</f>
        <v>0</v>
      </c>
      <c r="W36" s="3"/>
      <c r="X36" s="3"/>
      <c r="Y36" s="3"/>
      <c r="AB36" s="43"/>
      <c r="AC36" s="80"/>
    </row>
    <row r="37" spans="1:29" s="4" customFormat="1" ht="11.25">
      <c r="A37" s="50">
        <v>1.24</v>
      </c>
      <c r="B37" s="3"/>
      <c r="C37" s="37"/>
      <c r="D37" s="56" t="s">
        <v>121</v>
      </c>
      <c r="E37" s="37" t="s">
        <v>130</v>
      </c>
      <c r="F37" s="64">
        <f>2*30.4</f>
        <v>60.8</v>
      </c>
      <c r="G37" s="57" t="s">
        <v>77</v>
      </c>
      <c r="H37" s="13"/>
      <c r="I37" s="13">
        <f t="shared" si="17"/>
        <v>0</v>
      </c>
      <c r="J37" s="13">
        <f aca="true" t="shared" si="25" ref="J37:J59">I37*$L$8</f>
        <v>0</v>
      </c>
      <c r="K37" s="13"/>
      <c r="L37" s="13">
        <f t="shared" si="18"/>
        <v>0</v>
      </c>
      <c r="M37" s="65">
        <f>2*150</f>
        <v>300</v>
      </c>
      <c r="N37" s="13">
        <f t="shared" si="19"/>
        <v>18240</v>
      </c>
      <c r="O37" s="13"/>
      <c r="P37" s="13">
        <f t="shared" si="20"/>
        <v>0</v>
      </c>
      <c r="Q37" s="38"/>
      <c r="R37" s="13">
        <f t="shared" si="21"/>
        <v>0</v>
      </c>
      <c r="S37" s="13">
        <f t="shared" si="22"/>
        <v>18240</v>
      </c>
      <c r="T37" s="38">
        <v>0.25</v>
      </c>
      <c r="U37" s="13">
        <f t="shared" si="23"/>
        <v>4560</v>
      </c>
      <c r="V37" s="13">
        <f t="shared" si="24"/>
        <v>22800</v>
      </c>
      <c r="W37" s="3"/>
      <c r="X37" s="3"/>
      <c r="Y37" s="3"/>
      <c r="AB37" s="43"/>
      <c r="AC37" s="80"/>
    </row>
    <row r="38" spans="1:29" s="4" customFormat="1" ht="11.25">
      <c r="A38" s="50">
        <v>1.25</v>
      </c>
      <c r="B38" s="3"/>
      <c r="C38" s="37"/>
      <c r="D38" s="56" t="s">
        <v>122</v>
      </c>
      <c r="E38" s="37" t="s">
        <v>130</v>
      </c>
      <c r="F38" s="64">
        <v>1</v>
      </c>
      <c r="G38" s="57" t="s">
        <v>67</v>
      </c>
      <c r="H38" s="13"/>
      <c r="I38" s="13">
        <f t="shared" si="17"/>
        <v>0</v>
      </c>
      <c r="J38" s="13">
        <f t="shared" si="25"/>
        <v>0</v>
      </c>
      <c r="K38" s="13"/>
      <c r="L38" s="13">
        <f t="shared" si="18"/>
        <v>0</v>
      </c>
      <c r="M38" s="65">
        <v>15000</v>
      </c>
      <c r="N38" s="13">
        <f t="shared" si="19"/>
        <v>15000</v>
      </c>
      <c r="O38" s="13"/>
      <c r="P38" s="13">
        <f t="shared" si="20"/>
        <v>0</v>
      </c>
      <c r="Q38" s="38"/>
      <c r="R38" s="13">
        <f t="shared" si="21"/>
        <v>0</v>
      </c>
      <c r="S38" s="13">
        <f t="shared" si="22"/>
        <v>15000</v>
      </c>
      <c r="T38" s="38">
        <v>0.25</v>
      </c>
      <c r="U38" s="13">
        <f t="shared" si="23"/>
        <v>3750</v>
      </c>
      <c r="V38" s="13">
        <f t="shared" si="24"/>
        <v>18750</v>
      </c>
      <c r="W38" s="3"/>
      <c r="X38" s="3"/>
      <c r="Y38" s="3"/>
      <c r="AB38" s="43"/>
      <c r="AC38" s="80"/>
    </row>
    <row r="39" spans="1:29" s="4" customFormat="1" ht="11.25">
      <c r="A39" s="50">
        <v>1.26</v>
      </c>
      <c r="B39" s="3"/>
      <c r="C39" s="37"/>
      <c r="D39" s="56" t="s">
        <v>123</v>
      </c>
      <c r="E39" s="37" t="s">
        <v>130</v>
      </c>
      <c r="F39" s="64">
        <v>2</v>
      </c>
      <c r="G39" s="57" t="s">
        <v>75</v>
      </c>
      <c r="H39" s="13"/>
      <c r="I39" s="13">
        <f t="shared" si="17"/>
        <v>0</v>
      </c>
      <c r="J39" s="13">
        <f t="shared" si="25"/>
        <v>0</v>
      </c>
      <c r="K39" s="13"/>
      <c r="L39" s="13">
        <f t="shared" si="18"/>
        <v>0</v>
      </c>
      <c r="M39" s="65">
        <v>2000</v>
      </c>
      <c r="N39" s="13">
        <f t="shared" si="19"/>
        <v>4000</v>
      </c>
      <c r="O39" s="13"/>
      <c r="P39" s="13">
        <f t="shared" si="20"/>
        <v>0</v>
      </c>
      <c r="Q39" s="38"/>
      <c r="R39" s="13">
        <f t="shared" si="21"/>
        <v>0</v>
      </c>
      <c r="S39" s="13">
        <f>J39+L39+N39+P39+R39</f>
        <v>4000</v>
      </c>
      <c r="T39" s="38">
        <v>0.25</v>
      </c>
      <c r="U39" s="13">
        <f>S39*T39</f>
        <v>1000</v>
      </c>
      <c r="V39" s="13">
        <f>S39+U39</f>
        <v>5000</v>
      </c>
      <c r="W39" s="3"/>
      <c r="X39" s="3"/>
      <c r="Y39" s="3"/>
      <c r="AB39" s="43"/>
      <c r="AC39" s="80"/>
    </row>
    <row r="40" spans="1:29" s="4" customFormat="1" ht="11.25">
      <c r="A40" s="50">
        <v>1.27</v>
      </c>
      <c r="B40" s="3"/>
      <c r="C40" s="37"/>
      <c r="D40" s="56" t="s">
        <v>124</v>
      </c>
      <c r="E40" s="37" t="s">
        <v>130</v>
      </c>
      <c r="F40" s="64">
        <f>F39</f>
        <v>2</v>
      </c>
      <c r="G40" s="57" t="s">
        <v>75</v>
      </c>
      <c r="H40" s="13"/>
      <c r="I40" s="13">
        <f t="shared" si="17"/>
        <v>0</v>
      </c>
      <c r="J40" s="13">
        <f t="shared" si="25"/>
        <v>0</v>
      </c>
      <c r="K40" s="13"/>
      <c r="L40" s="13">
        <f t="shared" si="18"/>
        <v>0</v>
      </c>
      <c r="M40" s="65">
        <v>5000</v>
      </c>
      <c r="N40" s="13">
        <f t="shared" si="19"/>
        <v>10000</v>
      </c>
      <c r="O40" s="13"/>
      <c r="P40" s="13">
        <f t="shared" si="20"/>
        <v>0</v>
      </c>
      <c r="Q40" s="38"/>
      <c r="R40" s="13">
        <f t="shared" si="21"/>
        <v>0</v>
      </c>
      <c r="S40" s="13">
        <f t="shared" si="22"/>
        <v>10000</v>
      </c>
      <c r="T40" s="38">
        <v>0.25</v>
      </c>
      <c r="U40" s="13">
        <f t="shared" si="23"/>
        <v>2500</v>
      </c>
      <c r="V40" s="13">
        <f t="shared" si="24"/>
        <v>12500</v>
      </c>
      <c r="W40" s="3"/>
      <c r="X40" s="3"/>
      <c r="Y40" s="3"/>
      <c r="AB40" s="43"/>
      <c r="AC40" s="80"/>
    </row>
    <row r="41" spans="1:29" s="4" customFormat="1" ht="11.25">
      <c r="A41" s="50">
        <v>1.28</v>
      </c>
      <c r="B41" s="3"/>
      <c r="C41" s="37"/>
      <c r="D41" s="56" t="s">
        <v>125</v>
      </c>
      <c r="E41" s="37" t="s">
        <v>95</v>
      </c>
      <c r="F41" s="64">
        <f>F37</f>
        <v>60.8</v>
      </c>
      <c r="G41" s="57" t="s">
        <v>77</v>
      </c>
      <c r="H41" s="13"/>
      <c r="I41" s="13">
        <f t="shared" si="17"/>
        <v>0</v>
      </c>
      <c r="J41" s="13">
        <f t="shared" si="25"/>
        <v>0</v>
      </c>
      <c r="K41" s="13"/>
      <c r="L41" s="13">
        <f t="shared" si="18"/>
        <v>0</v>
      </c>
      <c r="M41" s="65">
        <f>6*150</f>
        <v>900</v>
      </c>
      <c r="N41" s="13">
        <f t="shared" si="19"/>
        <v>54720</v>
      </c>
      <c r="O41" s="13"/>
      <c r="P41" s="13">
        <f t="shared" si="20"/>
        <v>0</v>
      </c>
      <c r="Q41" s="38"/>
      <c r="R41" s="13">
        <f t="shared" si="21"/>
        <v>0</v>
      </c>
      <c r="S41" s="13">
        <f t="shared" si="22"/>
        <v>54720</v>
      </c>
      <c r="T41" s="38">
        <v>0.25</v>
      </c>
      <c r="U41" s="13">
        <f t="shared" si="23"/>
        <v>13680</v>
      </c>
      <c r="V41" s="13">
        <f t="shared" si="24"/>
        <v>68400</v>
      </c>
      <c r="W41" s="3"/>
      <c r="X41" s="3"/>
      <c r="Y41" s="3"/>
      <c r="AB41" s="43"/>
      <c r="AC41" s="80"/>
    </row>
    <row r="42" spans="1:29" s="4" customFormat="1" ht="11.25">
      <c r="A42" s="50">
        <v>1.29</v>
      </c>
      <c r="B42" s="3"/>
      <c r="C42" s="37"/>
      <c r="D42" s="56" t="s">
        <v>126</v>
      </c>
      <c r="E42" s="37" t="s">
        <v>95</v>
      </c>
      <c r="F42" s="64">
        <f>F39</f>
        <v>2</v>
      </c>
      <c r="G42" s="57" t="s">
        <v>75</v>
      </c>
      <c r="H42" s="13"/>
      <c r="I42" s="13">
        <f>F42*H42</f>
        <v>0</v>
      </c>
      <c r="J42" s="13">
        <f>I42*$L$8</f>
        <v>0</v>
      </c>
      <c r="K42" s="13"/>
      <c r="L42" s="13">
        <f>F42*K42</f>
        <v>0</v>
      </c>
      <c r="M42" s="65">
        <f>6*3740</f>
        <v>22440</v>
      </c>
      <c r="N42" s="13">
        <f>F42*M42</f>
        <v>44880</v>
      </c>
      <c r="O42" s="13"/>
      <c r="P42" s="13">
        <f>F42*O42</f>
        <v>0</v>
      </c>
      <c r="Q42" s="38"/>
      <c r="R42" s="13">
        <f>(J42+L42+N42+P42)*Q42</f>
        <v>0</v>
      </c>
      <c r="S42" s="13">
        <f>J42+L42+N42+P42+R42</f>
        <v>44880</v>
      </c>
      <c r="T42" s="38">
        <v>0.25</v>
      </c>
      <c r="U42" s="13">
        <f>S42*T42</f>
        <v>11220</v>
      </c>
      <c r="V42" s="13">
        <f>S42+U42</f>
        <v>56100</v>
      </c>
      <c r="W42" s="3"/>
      <c r="X42" s="3"/>
      <c r="Y42" s="3"/>
      <c r="AB42" s="43"/>
      <c r="AC42" s="80"/>
    </row>
    <row r="43" spans="1:29" s="4" customFormat="1" ht="11.25">
      <c r="A43" s="50">
        <v>1.3</v>
      </c>
      <c r="B43" s="3"/>
      <c r="C43" s="37"/>
      <c r="D43" s="56" t="s">
        <v>76</v>
      </c>
      <c r="E43" s="37" t="s">
        <v>95</v>
      </c>
      <c r="F43" s="64">
        <f>F39</f>
        <v>2</v>
      </c>
      <c r="G43" s="57" t="s">
        <v>75</v>
      </c>
      <c r="H43" s="13"/>
      <c r="I43" s="13">
        <f>F43*H43</f>
        <v>0</v>
      </c>
      <c r="J43" s="13">
        <f>I43*$L$8</f>
        <v>0</v>
      </c>
      <c r="K43" s="13"/>
      <c r="L43" s="13">
        <f>F43*K43</f>
        <v>0</v>
      </c>
      <c r="M43" s="65">
        <f>6*1320</f>
        <v>7920</v>
      </c>
      <c r="N43" s="13">
        <f>F43*M43</f>
        <v>15840</v>
      </c>
      <c r="O43" s="13"/>
      <c r="P43" s="13">
        <f>F43*O43</f>
        <v>0</v>
      </c>
      <c r="Q43" s="38"/>
      <c r="R43" s="13">
        <f>(J43+L43+N43+P43)*Q43</f>
        <v>0</v>
      </c>
      <c r="S43" s="13">
        <f>J43+L43+N43+P43+R43</f>
        <v>15840</v>
      </c>
      <c r="T43" s="38">
        <v>0.25</v>
      </c>
      <c r="U43" s="13">
        <f>S43*T43</f>
        <v>3960</v>
      </c>
      <c r="V43" s="13">
        <f>S43+U43</f>
        <v>19800</v>
      </c>
      <c r="W43" s="3"/>
      <c r="X43" s="3"/>
      <c r="Y43" s="3"/>
      <c r="AB43" s="43"/>
      <c r="AC43" s="80"/>
    </row>
    <row r="44" spans="1:29" s="4" customFormat="1" ht="11.25">
      <c r="A44" s="50">
        <v>1.31</v>
      </c>
      <c r="B44" s="3"/>
      <c r="C44" s="37"/>
      <c r="D44" s="56"/>
      <c r="E44" s="37"/>
      <c r="F44" s="64"/>
      <c r="G44" s="57"/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13"/>
      <c r="N44" s="13">
        <f t="shared" si="19"/>
        <v>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0</v>
      </c>
      <c r="T44" s="38"/>
      <c r="U44" s="13">
        <f t="shared" si="23"/>
        <v>0</v>
      </c>
      <c r="V44" s="13">
        <f t="shared" si="24"/>
        <v>0</v>
      </c>
      <c r="W44" s="3"/>
      <c r="X44" s="3"/>
      <c r="Y44" s="3"/>
      <c r="AB44" s="43"/>
      <c r="AC44" s="80"/>
    </row>
    <row r="45" spans="1:29" s="4" customFormat="1" ht="33.75">
      <c r="A45" s="50">
        <v>1.32</v>
      </c>
      <c r="B45" s="3"/>
      <c r="C45" s="37"/>
      <c r="D45" s="59" t="s">
        <v>72</v>
      </c>
      <c r="E45" s="37" t="s">
        <v>131</v>
      </c>
      <c r="F45" s="64"/>
      <c r="G45" s="57"/>
      <c r="H45" s="13"/>
      <c r="I45" s="13">
        <f t="shared" si="17"/>
        <v>0</v>
      </c>
      <c r="J45" s="13">
        <f t="shared" si="25"/>
        <v>0</v>
      </c>
      <c r="K45" s="13"/>
      <c r="L45" s="13">
        <f t="shared" si="18"/>
        <v>0</v>
      </c>
      <c r="M45" s="13"/>
      <c r="N45" s="13">
        <f t="shared" si="19"/>
        <v>0</v>
      </c>
      <c r="O45" s="13"/>
      <c r="P45" s="13">
        <f t="shared" si="20"/>
        <v>0</v>
      </c>
      <c r="Q45" s="38"/>
      <c r="R45" s="13">
        <f t="shared" si="21"/>
        <v>0</v>
      </c>
      <c r="S45" s="13">
        <f t="shared" si="22"/>
        <v>0</v>
      </c>
      <c r="T45" s="38"/>
      <c r="U45" s="13">
        <f t="shared" si="23"/>
        <v>0</v>
      </c>
      <c r="V45" s="13">
        <f t="shared" si="24"/>
        <v>0</v>
      </c>
      <c r="W45" s="3"/>
      <c r="X45" s="3"/>
      <c r="Y45" s="3"/>
      <c r="AB45" s="43"/>
      <c r="AC45" s="80"/>
    </row>
    <row r="46" spans="1:29" s="4" customFormat="1" ht="11.25">
      <c r="A46" s="50">
        <v>1.33</v>
      </c>
      <c r="B46" s="3"/>
      <c r="C46" s="37"/>
      <c r="D46" s="56" t="s">
        <v>127</v>
      </c>
      <c r="E46" s="37" t="s">
        <v>132</v>
      </c>
      <c r="F46" s="64">
        <f>2*30.4</f>
        <v>60.8</v>
      </c>
      <c r="G46" s="57" t="s">
        <v>77</v>
      </c>
      <c r="H46" s="13"/>
      <c r="I46" s="13">
        <f t="shared" si="17"/>
        <v>0</v>
      </c>
      <c r="J46" s="13">
        <f t="shared" si="25"/>
        <v>0</v>
      </c>
      <c r="K46" s="13"/>
      <c r="L46" s="13">
        <f t="shared" si="18"/>
        <v>0</v>
      </c>
      <c r="M46" s="65">
        <f>24*110</f>
        <v>2640</v>
      </c>
      <c r="N46" s="13">
        <f t="shared" si="19"/>
        <v>160512</v>
      </c>
      <c r="O46" s="13"/>
      <c r="P46" s="13">
        <f t="shared" si="20"/>
        <v>0</v>
      </c>
      <c r="Q46" s="38"/>
      <c r="R46" s="13">
        <f t="shared" si="21"/>
        <v>0</v>
      </c>
      <c r="S46" s="13">
        <f t="shared" si="22"/>
        <v>160512</v>
      </c>
      <c r="T46" s="38">
        <v>0.25</v>
      </c>
      <c r="U46" s="13">
        <f t="shared" si="23"/>
        <v>40128</v>
      </c>
      <c r="V46" s="13">
        <f t="shared" si="24"/>
        <v>200640</v>
      </c>
      <c r="W46" s="3"/>
      <c r="X46" s="3"/>
      <c r="Y46" s="3"/>
      <c r="AB46" s="43"/>
      <c r="AC46" s="80"/>
    </row>
    <row r="47" spans="1:29" s="4" customFormat="1" ht="11.25">
      <c r="A47" s="50">
        <v>1.34</v>
      </c>
      <c r="B47" s="3"/>
      <c r="C47" s="37"/>
      <c r="D47" s="56" t="s">
        <v>74</v>
      </c>
      <c r="E47" s="37" t="s">
        <v>132</v>
      </c>
      <c r="F47" s="64">
        <f>F46</f>
        <v>60.8</v>
      </c>
      <c r="G47" s="57" t="s">
        <v>77</v>
      </c>
      <c r="H47" s="13"/>
      <c r="I47" s="13">
        <f t="shared" si="17"/>
        <v>0</v>
      </c>
      <c r="J47" s="13">
        <f t="shared" si="25"/>
        <v>0</v>
      </c>
      <c r="K47" s="13"/>
      <c r="L47" s="13">
        <f t="shared" si="18"/>
        <v>0</v>
      </c>
      <c r="M47" s="65">
        <f>24*110</f>
        <v>2640</v>
      </c>
      <c r="N47" s="13">
        <f t="shared" si="19"/>
        <v>160512</v>
      </c>
      <c r="O47" s="13"/>
      <c r="P47" s="13">
        <f t="shared" si="20"/>
        <v>0</v>
      </c>
      <c r="Q47" s="38"/>
      <c r="R47" s="13">
        <f t="shared" si="21"/>
        <v>0</v>
      </c>
      <c r="S47" s="13">
        <f t="shared" si="22"/>
        <v>160512</v>
      </c>
      <c r="T47" s="38">
        <v>0.25</v>
      </c>
      <c r="U47" s="13">
        <f t="shared" si="23"/>
        <v>40128</v>
      </c>
      <c r="V47" s="13">
        <f t="shared" si="24"/>
        <v>200640</v>
      </c>
      <c r="W47" s="3"/>
      <c r="X47" s="3"/>
      <c r="Y47" s="3"/>
      <c r="AB47" s="43"/>
      <c r="AC47" s="80"/>
    </row>
    <row r="48" spans="1:29" s="4" customFormat="1" ht="11.25">
      <c r="A48" s="50">
        <v>1.35</v>
      </c>
      <c r="B48" s="3"/>
      <c r="C48" s="37"/>
      <c r="D48" s="56" t="s">
        <v>73</v>
      </c>
      <c r="E48" s="37" t="s">
        <v>133</v>
      </c>
      <c r="F48" s="74">
        <f>F46*2</f>
        <v>121.6</v>
      </c>
      <c r="G48" s="57" t="s">
        <v>77</v>
      </c>
      <c r="H48" s="13"/>
      <c r="I48" s="13">
        <f t="shared" si="17"/>
        <v>0</v>
      </c>
      <c r="J48" s="13">
        <f t="shared" si="25"/>
        <v>0</v>
      </c>
      <c r="K48" s="13"/>
      <c r="L48" s="13">
        <f t="shared" si="18"/>
        <v>0</v>
      </c>
      <c r="M48" s="65">
        <f>24*75</f>
        <v>1800</v>
      </c>
      <c r="N48" s="13">
        <f t="shared" si="19"/>
        <v>218880</v>
      </c>
      <c r="O48" s="13"/>
      <c r="P48" s="13">
        <f t="shared" si="20"/>
        <v>0</v>
      </c>
      <c r="Q48" s="38"/>
      <c r="R48" s="13">
        <f t="shared" si="21"/>
        <v>0</v>
      </c>
      <c r="S48" s="13">
        <f t="shared" si="22"/>
        <v>218880</v>
      </c>
      <c r="T48" s="38">
        <v>0.25</v>
      </c>
      <c r="U48" s="13">
        <f t="shared" si="23"/>
        <v>54720</v>
      </c>
      <c r="V48" s="13">
        <f t="shared" si="24"/>
        <v>273600</v>
      </c>
      <c r="W48" s="3"/>
      <c r="X48" s="3"/>
      <c r="Y48" s="3"/>
      <c r="AB48" s="43"/>
      <c r="AC48" s="80"/>
    </row>
    <row r="49" spans="1:29" s="4" customFormat="1" ht="11.25">
      <c r="A49" s="50">
        <v>1.36</v>
      </c>
      <c r="B49" s="3"/>
      <c r="C49" s="37"/>
      <c r="D49" s="56"/>
      <c r="E49" s="37"/>
      <c r="F49" s="64"/>
      <c r="G49" s="57"/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13"/>
      <c r="N49" s="13">
        <f t="shared" si="19"/>
        <v>0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0</v>
      </c>
      <c r="T49" s="38"/>
      <c r="U49" s="13">
        <f t="shared" si="23"/>
        <v>0</v>
      </c>
      <c r="V49" s="13">
        <f t="shared" si="24"/>
        <v>0</v>
      </c>
      <c r="W49" s="3"/>
      <c r="X49" s="3"/>
      <c r="Y49" s="3"/>
      <c r="AB49" s="43"/>
      <c r="AC49" s="80"/>
    </row>
    <row r="50" spans="1:29" s="4" customFormat="1" ht="11.25">
      <c r="A50" s="50">
        <v>1.37</v>
      </c>
      <c r="B50" s="3"/>
      <c r="C50" s="37"/>
      <c r="D50" s="59" t="s">
        <v>136</v>
      </c>
      <c r="E50" s="37"/>
      <c r="F50" s="64"/>
      <c r="G50" s="57"/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76"/>
      <c r="N50" s="13">
        <f t="shared" si="19"/>
        <v>0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0</v>
      </c>
      <c r="T50" s="38"/>
      <c r="U50" s="13">
        <f t="shared" si="23"/>
        <v>0</v>
      </c>
      <c r="V50" s="13">
        <f t="shared" si="24"/>
        <v>0</v>
      </c>
      <c r="W50" s="3"/>
      <c r="X50" s="3"/>
      <c r="Y50" s="3"/>
      <c r="AB50" s="43"/>
      <c r="AC50" s="80"/>
    </row>
    <row r="51" spans="1:29" s="4" customFormat="1" ht="56.25">
      <c r="A51" s="50">
        <v>1.38</v>
      </c>
      <c r="B51" s="3"/>
      <c r="C51" s="37"/>
      <c r="D51" s="56" t="s">
        <v>137</v>
      </c>
      <c r="E51" s="37" t="s">
        <v>138</v>
      </c>
      <c r="F51" s="64">
        <v>1</v>
      </c>
      <c r="G51" s="57" t="s">
        <v>105</v>
      </c>
      <c r="H51" s="13"/>
      <c r="I51" s="13">
        <f>F51*H51</f>
        <v>0</v>
      </c>
      <c r="J51" s="13">
        <f>I51*$L$8</f>
        <v>0</v>
      </c>
      <c r="K51" s="13"/>
      <c r="L51" s="13">
        <f>F51*K51</f>
        <v>0</v>
      </c>
      <c r="M51" s="76">
        <f>385000+(271*900)+(4*19712)+(12.6*F37*1.6)+(1*F37*4*100)</f>
        <v>733293.728</v>
      </c>
      <c r="N51" s="13">
        <f>F51*M51</f>
        <v>733293.728</v>
      </c>
      <c r="O51" s="13"/>
      <c r="P51" s="13">
        <f>F51*O51</f>
        <v>0</v>
      </c>
      <c r="Q51" s="38"/>
      <c r="R51" s="13">
        <f>(J51+L51+N51+P51)*Q51</f>
        <v>0</v>
      </c>
      <c r="S51" s="13">
        <f>J51+L51+N51+P51+R51</f>
        <v>733293.728</v>
      </c>
      <c r="T51" s="38">
        <v>0.25</v>
      </c>
      <c r="U51" s="13">
        <f>S51*T51</f>
        <v>183323.432</v>
      </c>
      <c r="V51" s="13">
        <f>S51+U51</f>
        <v>916617.16</v>
      </c>
      <c r="W51" s="3"/>
      <c r="X51" s="3"/>
      <c r="Y51" s="3"/>
      <c r="AB51" s="43"/>
      <c r="AC51" s="80"/>
    </row>
    <row r="52" spans="1:29" s="4" customFormat="1" ht="11.25">
      <c r="A52" s="50">
        <v>1.39</v>
      </c>
      <c r="B52" s="3"/>
      <c r="C52" s="37"/>
      <c r="D52" s="56" t="s">
        <v>139</v>
      </c>
      <c r="E52" s="37"/>
      <c r="F52" s="64">
        <v>1</v>
      </c>
      <c r="G52" s="57" t="s">
        <v>67</v>
      </c>
      <c r="H52" s="13"/>
      <c r="I52" s="13">
        <f>F52*H52</f>
        <v>0</v>
      </c>
      <c r="J52" s="13">
        <f>I52*$L$8</f>
        <v>0</v>
      </c>
      <c r="K52" s="13"/>
      <c r="L52" s="13">
        <f>F52*K52</f>
        <v>0</v>
      </c>
      <c r="M52" s="76">
        <f>1000*F15</f>
        <v>14000</v>
      </c>
      <c r="N52" s="13">
        <f>F52*M52</f>
        <v>14000</v>
      </c>
      <c r="O52" s="13"/>
      <c r="P52" s="13">
        <f>F52*O52</f>
        <v>0</v>
      </c>
      <c r="Q52" s="38"/>
      <c r="R52" s="13">
        <f>(J52+L52+N52+P52)*Q52</f>
        <v>0</v>
      </c>
      <c r="S52" s="13">
        <f>J52+L52+N52+P52+R52</f>
        <v>14000</v>
      </c>
      <c r="T52" s="38">
        <v>0.25</v>
      </c>
      <c r="U52" s="13">
        <f>S52*T52</f>
        <v>3500</v>
      </c>
      <c r="V52" s="13">
        <f>S52+U52</f>
        <v>17500</v>
      </c>
      <c r="W52" s="3"/>
      <c r="X52" s="3"/>
      <c r="Y52" s="3"/>
      <c r="AB52" s="43"/>
      <c r="AC52" s="80"/>
    </row>
    <row r="53" spans="1:29" s="4" customFormat="1" ht="11.25">
      <c r="A53" s="50">
        <v>1.4</v>
      </c>
      <c r="B53" s="3"/>
      <c r="C53" s="37"/>
      <c r="D53" s="56" t="s">
        <v>140</v>
      </c>
      <c r="E53" s="37"/>
      <c r="F53" s="64">
        <v>50</v>
      </c>
      <c r="G53" s="57" t="s">
        <v>105</v>
      </c>
      <c r="H53" s="13"/>
      <c r="I53" s="13">
        <f>F53*H53</f>
        <v>0</v>
      </c>
      <c r="J53" s="13">
        <f>I53*$L$8</f>
        <v>0</v>
      </c>
      <c r="K53" s="13"/>
      <c r="L53" s="13">
        <f>F53*K53</f>
        <v>0</v>
      </c>
      <c r="M53" s="76">
        <v>500</v>
      </c>
      <c r="N53" s="13">
        <f>F53*M53</f>
        <v>25000</v>
      </c>
      <c r="O53" s="13"/>
      <c r="P53" s="13">
        <f>F53*O53</f>
        <v>0</v>
      </c>
      <c r="Q53" s="38"/>
      <c r="R53" s="13">
        <f>(J53+L53+N53+P53)*Q53</f>
        <v>0</v>
      </c>
      <c r="S53" s="13">
        <f>J53+L53+N53+P53+R53</f>
        <v>25000</v>
      </c>
      <c r="T53" s="38">
        <v>0.25</v>
      </c>
      <c r="U53" s="13">
        <f>S53*T53</f>
        <v>6250</v>
      </c>
      <c r="V53" s="13">
        <f>S53+U53</f>
        <v>31250</v>
      </c>
      <c r="W53" s="3"/>
      <c r="X53" s="3"/>
      <c r="Y53" s="3"/>
      <c r="AB53" s="43"/>
      <c r="AC53" s="80"/>
    </row>
    <row r="54" spans="1:29" s="4" customFormat="1" ht="11.25">
      <c r="A54" s="50">
        <v>1.41</v>
      </c>
      <c r="B54" s="3"/>
      <c r="C54" s="37"/>
      <c r="D54" s="56"/>
      <c r="E54" s="37"/>
      <c r="F54" s="64"/>
      <c r="G54" s="57"/>
      <c r="H54" s="13"/>
      <c r="I54" s="13">
        <f t="shared" si="17"/>
        <v>0</v>
      </c>
      <c r="J54" s="13">
        <f t="shared" si="25"/>
        <v>0</v>
      </c>
      <c r="K54" s="13"/>
      <c r="L54" s="13">
        <f t="shared" si="18"/>
        <v>0</v>
      </c>
      <c r="M54" s="76"/>
      <c r="N54" s="13">
        <f t="shared" si="19"/>
        <v>0</v>
      </c>
      <c r="O54" s="13"/>
      <c r="P54" s="13">
        <f t="shared" si="20"/>
        <v>0</v>
      </c>
      <c r="Q54" s="38"/>
      <c r="R54" s="13">
        <f t="shared" si="21"/>
        <v>0</v>
      </c>
      <c r="S54" s="13">
        <f t="shared" si="22"/>
        <v>0</v>
      </c>
      <c r="T54" s="38"/>
      <c r="U54" s="13">
        <f t="shared" si="23"/>
        <v>0</v>
      </c>
      <c r="V54" s="13">
        <f t="shared" si="24"/>
        <v>0</v>
      </c>
      <c r="W54" s="3"/>
      <c r="X54" s="3"/>
      <c r="Y54" s="3"/>
      <c r="AB54" s="43"/>
      <c r="AC54" s="80"/>
    </row>
    <row r="55" spans="1:29" s="4" customFormat="1" ht="33.75">
      <c r="A55" s="50">
        <v>1.42</v>
      </c>
      <c r="B55" s="3"/>
      <c r="C55" s="37"/>
      <c r="D55" s="59" t="s">
        <v>79</v>
      </c>
      <c r="E55" s="37" t="s">
        <v>78</v>
      </c>
      <c r="F55" s="64"/>
      <c r="G55" s="57"/>
      <c r="H55" s="13"/>
      <c r="I55" s="13">
        <f t="shared" si="17"/>
        <v>0</v>
      </c>
      <c r="J55" s="13">
        <f t="shared" si="25"/>
        <v>0</v>
      </c>
      <c r="K55" s="13"/>
      <c r="L55" s="13">
        <f t="shared" si="18"/>
        <v>0</v>
      </c>
      <c r="M55" s="13"/>
      <c r="N55" s="13">
        <f t="shared" si="19"/>
        <v>0</v>
      </c>
      <c r="O55" s="13"/>
      <c r="P55" s="13">
        <f t="shared" si="20"/>
        <v>0</v>
      </c>
      <c r="Q55" s="38"/>
      <c r="R55" s="13">
        <f t="shared" si="21"/>
        <v>0</v>
      </c>
      <c r="S55" s="13">
        <f t="shared" si="22"/>
        <v>0</v>
      </c>
      <c r="T55" s="38"/>
      <c r="U55" s="13">
        <f t="shared" si="23"/>
        <v>0</v>
      </c>
      <c r="V55" s="13">
        <f t="shared" si="24"/>
        <v>0</v>
      </c>
      <c r="W55" s="3"/>
      <c r="X55" s="3"/>
      <c r="Y55" s="3"/>
      <c r="AB55" s="43"/>
      <c r="AC55" s="80"/>
    </row>
    <row r="56" spans="1:29" s="4" customFormat="1" ht="11.25">
      <c r="A56" s="50">
        <v>1.43</v>
      </c>
      <c r="B56" s="3"/>
      <c r="C56" s="37"/>
      <c r="D56" s="56" t="s">
        <v>128</v>
      </c>
      <c r="E56" s="37" t="s">
        <v>80</v>
      </c>
      <c r="F56" s="64">
        <f>F57/27000</f>
        <v>7.324703703703704</v>
      </c>
      <c r="G56" s="57" t="s">
        <v>117</v>
      </c>
      <c r="H56" s="13"/>
      <c r="I56" s="13">
        <f t="shared" si="17"/>
        <v>0</v>
      </c>
      <c r="J56" s="13">
        <f t="shared" si="25"/>
        <v>0</v>
      </c>
      <c r="K56" s="13"/>
      <c r="L56" s="13">
        <f t="shared" si="18"/>
        <v>0</v>
      </c>
      <c r="M56" s="65">
        <f>(71.4+100)*4</f>
        <v>685.6</v>
      </c>
      <c r="N56" s="13">
        <f t="shared" si="19"/>
        <v>5021.816859259259</v>
      </c>
      <c r="O56" s="13"/>
      <c r="P56" s="13">
        <f t="shared" si="20"/>
        <v>0</v>
      </c>
      <c r="Q56" s="38"/>
      <c r="R56" s="13">
        <f t="shared" si="21"/>
        <v>0</v>
      </c>
      <c r="S56" s="13">
        <f t="shared" si="22"/>
        <v>5021.816859259259</v>
      </c>
      <c r="T56" s="38">
        <v>0.25</v>
      </c>
      <c r="U56" s="13">
        <f t="shared" si="23"/>
        <v>1255.4542148148148</v>
      </c>
      <c r="V56" s="13">
        <f>S56+U56</f>
        <v>6277.271074074074</v>
      </c>
      <c r="W56" s="58"/>
      <c r="X56" s="3"/>
      <c r="Y56" s="3"/>
      <c r="AB56" s="43"/>
      <c r="AC56" s="80"/>
    </row>
    <row r="57" spans="1:29" s="4" customFormat="1" ht="11.25">
      <c r="A57" s="50">
        <v>1.44</v>
      </c>
      <c r="B57" s="3"/>
      <c r="C57" s="37"/>
      <c r="D57" s="67"/>
      <c r="E57" s="4" t="s">
        <v>104</v>
      </c>
      <c r="F57" s="63">
        <f>8000+660+1980+(9600+177527)</f>
        <v>197767</v>
      </c>
      <c r="G57" s="69" t="s">
        <v>96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13"/>
      <c r="N57" s="13">
        <f>F57*M57</f>
        <v>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0</v>
      </c>
      <c r="T57" s="38"/>
      <c r="U57" s="13">
        <f>S57*T57</f>
        <v>0</v>
      </c>
      <c r="V57" s="13">
        <f>S57+U57</f>
        <v>0</v>
      </c>
      <c r="W57" s="3"/>
      <c r="X57" s="3"/>
      <c r="Y57" s="3"/>
      <c r="AB57" s="43"/>
      <c r="AC57" s="80"/>
    </row>
    <row r="58" spans="1:29" s="4" customFormat="1" ht="11.25">
      <c r="A58" s="50">
        <v>1.45</v>
      </c>
      <c r="B58" s="3"/>
      <c r="C58" s="37"/>
      <c r="D58" s="67"/>
      <c r="E58" s="37"/>
      <c r="F58" s="68"/>
      <c r="G58" s="69"/>
      <c r="H58" s="13"/>
      <c r="I58" s="13">
        <f t="shared" si="17"/>
        <v>0</v>
      </c>
      <c r="J58" s="13">
        <f t="shared" si="25"/>
        <v>0</v>
      </c>
      <c r="K58" s="13"/>
      <c r="L58" s="13">
        <f t="shared" si="18"/>
        <v>0</v>
      </c>
      <c r="M58" s="13"/>
      <c r="N58" s="13">
        <f t="shared" si="19"/>
        <v>0</v>
      </c>
      <c r="O58" s="13"/>
      <c r="P58" s="13">
        <f t="shared" si="20"/>
        <v>0</v>
      </c>
      <c r="Q58" s="38"/>
      <c r="R58" s="13">
        <f t="shared" si="21"/>
        <v>0</v>
      </c>
      <c r="S58" s="13">
        <f t="shared" si="22"/>
        <v>0</v>
      </c>
      <c r="T58" s="38"/>
      <c r="U58" s="13">
        <f t="shared" si="23"/>
        <v>0</v>
      </c>
      <c r="V58" s="13">
        <f t="shared" si="24"/>
        <v>0</v>
      </c>
      <c r="W58" s="3"/>
      <c r="X58" s="3"/>
      <c r="Y58" s="3"/>
      <c r="AB58" s="43"/>
      <c r="AC58" s="80"/>
    </row>
    <row r="59" spans="1:29" s="4" customFormat="1" ht="11.25">
      <c r="A59" s="50">
        <v>1.46</v>
      </c>
      <c r="B59" s="3"/>
      <c r="C59" s="37"/>
      <c r="D59" s="56"/>
      <c r="E59" s="37"/>
      <c r="F59" s="64"/>
      <c r="G59" s="57"/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13"/>
      <c r="N59" s="13">
        <f t="shared" si="19"/>
        <v>0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0</v>
      </c>
      <c r="T59" s="38"/>
      <c r="U59" s="13">
        <f t="shared" si="23"/>
        <v>0</v>
      </c>
      <c r="V59" s="13">
        <f t="shared" si="24"/>
        <v>0</v>
      </c>
      <c r="W59" s="3"/>
      <c r="X59" s="3"/>
      <c r="Y59" s="3"/>
      <c r="AB59" s="43"/>
      <c r="AC59" s="80"/>
    </row>
    <row r="60" spans="2:29" s="14" customFormat="1" ht="24.75" customHeight="1">
      <c r="B60" s="117" t="s">
        <v>37</v>
      </c>
      <c r="C60" s="117"/>
      <c r="D60" s="117"/>
      <c r="E60" s="117"/>
      <c r="F60" s="117"/>
      <c r="G60" s="117"/>
      <c r="H60" s="117"/>
      <c r="I60" s="36">
        <f>SUM(I14:I59)</f>
        <v>0</v>
      </c>
      <c r="J60" s="36">
        <f>SUM(J14:J59)</f>
        <v>0</v>
      </c>
      <c r="K60" s="48"/>
      <c r="L60" s="36">
        <f>SUM(L14:L59)</f>
        <v>0</v>
      </c>
      <c r="M60" s="48"/>
      <c r="N60" s="36">
        <f>SUM(N14:N59)</f>
        <v>6927119.353659259</v>
      </c>
      <c r="O60" s="48"/>
      <c r="P60" s="36">
        <f>SUM(P14:P59)</f>
        <v>0</v>
      </c>
      <c r="Q60" s="41">
        <f>R60/S60</f>
        <v>0</v>
      </c>
      <c r="R60" s="36">
        <f>SUM(R14:R59)</f>
        <v>0</v>
      </c>
      <c r="S60" s="36">
        <f>SUM(S14:S59)</f>
        <v>6927119.353659259</v>
      </c>
      <c r="T60" s="41">
        <f>U60/S60</f>
        <v>0.25</v>
      </c>
      <c r="U60" s="36">
        <f>SUM(U14:U59)</f>
        <v>1731779.8384148148</v>
      </c>
      <c r="V60" s="36">
        <f>SUM(V14:V59)</f>
        <v>8658899.192074073</v>
      </c>
      <c r="W60" s="4"/>
      <c r="X60" s="4"/>
      <c r="Y60" s="4"/>
      <c r="AA60" s="4"/>
      <c r="AB60" s="43"/>
      <c r="AC60" s="80"/>
    </row>
    <row r="61" spans="2:29" s="4" customFormat="1" ht="4.5" customHeight="1">
      <c r="B61" s="45"/>
      <c r="C61" s="45"/>
      <c r="D61" s="45"/>
      <c r="E61" s="45"/>
      <c r="F61" s="46"/>
      <c r="G61" s="61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46"/>
      <c r="S61" s="46"/>
      <c r="T61" s="47"/>
      <c r="U61" s="46"/>
      <c r="V61" s="46"/>
      <c r="W61" s="45"/>
      <c r="X61" s="45"/>
      <c r="Y61" s="45"/>
      <c r="AB61" s="43"/>
      <c r="AC61" s="80"/>
    </row>
    <row r="62" spans="2:29" s="4" customFormat="1" ht="11.25">
      <c r="B62" s="49" t="s">
        <v>45</v>
      </c>
      <c r="C62" s="45"/>
      <c r="D62" s="45"/>
      <c r="E62" s="45"/>
      <c r="F62" s="46"/>
      <c r="G62" s="61"/>
      <c r="H62" s="46"/>
      <c r="I62" s="46"/>
      <c r="J62" s="46"/>
      <c r="K62" s="46"/>
      <c r="L62" s="46"/>
      <c r="M62" s="46"/>
      <c r="N62" s="46"/>
      <c r="O62" s="46"/>
      <c r="P62" s="46"/>
      <c r="Q62" s="47"/>
      <c r="R62" s="46"/>
      <c r="S62" s="46"/>
      <c r="T62" s="47"/>
      <c r="U62" s="46"/>
      <c r="V62" s="46"/>
      <c r="W62" s="45"/>
      <c r="X62" s="45"/>
      <c r="Y62" s="45"/>
      <c r="AB62" s="43"/>
      <c r="AC62" s="80"/>
    </row>
    <row r="63" spans="2:29" s="4" customFormat="1" ht="4.5" customHeight="1">
      <c r="B63" s="45"/>
      <c r="C63" s="45"/>
      <c r="D63" s="45"/>
      <c r="E63" s="45"/>
      <c r="F63" s="46"/>
      <c r="G63" s="61"/>
      <c r="H63" s="46"/>
      <c r="I63" s="46"/>
      <c r="J63" s="46"/>
      <c r="K63" s="46"/>
      <c r="L63" s="46"/>
      <c r="M63" s="46"/>
      <c r="N63" s="46"/>
      <c r="O63" s="46"/>
      <c r="P63" s="46"/>
      <c r="Q63" s="47"/>
      <c r="R63" s="46"/>
      <c r="S63" s="46"/>
      <c r="T63" s="47"/>
      <c r="U63" s="46"/>
      <c r="V63" s="46"/>
      <c r="W63" s="45"/>
      <c r="X63" s="45"/>
      <c r="Y63" s="45"/>
      <c r="AB63" s="43"/>
      <c r="AC63" s="80"/>
    </row>
    <row r="64" spans="1:29" s="4" customFormat="1" ht="22.5">
      <c r="A64" s="50">
        <v>2.01</v>
      </c>
      <c r="B64" s="3"/>
      <c r="C64" s="3"/>
      <c r="D64" s="3" t="s">
        <v>61</v>
      </c>
      <c r="E64" s="3" t="s">
        <v>134</v>
      </c>
      <c r="F64" s="64">
        <f>40*30.4*2.75</f>
        <v>3344</v>
      </c>
      <c r="G64" s="57" t="s">
        <v>69</v>
      </c>
      <c r="H64" s="13"/>
      <c r="I64" s="13">
        <f>F64*H64</f>
        <v>0</v>
      </c>
      <c r="J64" s="13">
        <f aca="true" t="shared" si="26" ref="J64:J80">I64*$L$8</f>
        <v>0</v>
      </c>
      <c r="K64" s="13"/>
      <c r="L64" s="13">
        <f>F64*K64</f>
        <v>0</v>
      </c>
      <c r="M64" s="62">
        <v>557.93</v>
      </c>
      <c r="N64" s="13">
        <f>F64*M64</f>
        <v>1865717.92</v>
      </c>
      <c r="O64" s="13"/>
      <c r="P64" s="13">
        <f>F64*O64</f>
        <v>0</v>
      </c>
      <c r="Q64" s="38"/>
      <c r="R64" s="13">
        <f>(J64+L64+N64+P64)*Q64</f>
        <v>0</v>
      </c>
      <c r="S64" s="13">
        <f>J64+L64+N64+P64+R64</f>
        <v>1865717.92</v>
      </c>
      <c r="T64" s="38">
        <v>0.25</v>
      </c>
      <c r="U64" s="13">
        <f>S64*T64</f>
        <v>466429.48</v>
      </c>
      <c r="V64" s="13">
        <f>S64+U64</f>
        <v>2332147.4</v>
      </c>
      <c r="W64" s="3"/>
      <c r="X64" s="3"/>
      <c r="Y64" s="3"/>
      <c r="AB64" s="43"/>
      <c r="AC64" s="80"/>
    </row>
    <row r="65" spans="1:29" s="4" customFormat="1" ht="22.5">
      <c r="A65" s="50">
        <v>2.02</v>
      </c>
      <c r="B65" s="3"/>
      <c r="C65" s="3"/>
      <c r="D65" s="37" t="s">
        <v>46</v>
      </c>
      <c r="E65" s="3"/>
      <c r="F65" s="66">
        <v>0.03</v>
      </c>
      <c r="G65" s="57"/>
      <c r="H65" s="13"/>
      <c r="I65" s="13">
        <f>F65*H65</f>
        <v>0</v>
      </c>
      <c r="J65" s="13">
        <f t="shared" si="26"/>
        <v>0</v>
      </c>
      <c r="K65" s="13"/>
      <c r="L65" s="13">
        <f>F65*K65</f>
        <v>0</v>
      </c>
      <c r="M65" s="62">
        <f>S60</f>
        <v>6927119.353659259</v>
      </c>
      <c r="N65" s="13">
        <f>F65*M65</f>
        <v>207813.58060977777</v>
      </c>
      <c r="O65" s="13"/>
      <c r="P65" s="13">
        <f>F65*O65</f>
        <v>0</v>
      </c>
      <c r="Q65" s="38"/>
      <c r="R65" s="13">
        <f>(J65+L65+N65+P65)*Q65</f>
        <v>0</v>
      </c>
      <c r="S65" s="13">
        <f>J65+L65+N65+P65+R65</f>
        <v>207813.58060977777</v>
      </c>
      <c r="T65" s="38">
        <v>0.25</v>
      </c>
      <c r="U65" s="13">
        <f>S65*T65</f>
        <v>51953.39515244444</v>
      </c>
      <c r="V65" s="13">
        <f>S65+U65</f>
        <v>259766.9757622222</v>
      </c>
      <c r="W65" s="3"/>
      <c r="X65" s="3"/>
      <c r="Y65" s="3"/>
      <c r="AB65" s="43"/>
      <c r="AC65" s="80"/>
    </row>
    <row r="66" spans="1:29" s="4" customFormat="1" ht="11.25">
      <c r="A66" s="50">
        <v>2.03</v>
      </c>
      <c r="B66" s="3"/>
      <c r="C66" s="3"/>
      <c r="D66" s="3" t="s">
        <v>68</v>
      </c>
      <c r="E66" s="3" t="s">
        <v>101</v>
      </c>
      <c r="F66" s="64"/>
      <c r="G66" s="57"/>
      <c r="H66" s="13"/>
      <c r="I66" s="13">
        <f aca="true" t="shared" si="27" ref="I66:I80">F66*H66</f>
        <v>0</v>
      </c>
      <c r="J66" s="13">
        <f t="shared" si="26"/>
        <v>0</v>
      </c>
      <c r="K66" s="13"/>
      <c r="L66" s="13">
        <f aca="true" t="shared" si="28" ref="L66:L80">F66*K66</f>
        <v>0</v>
      </c>
      <c r="M66" s="65"/>
      <c r="N66" s="13">
        <f aca="true" t="shared" si="29" ref="N66:N80">F66*M66</f>
        <v>0</v>
      </c>
      <c r="O66" s="13"/>
      <c r="P66" s="13">
        <f aca="true" t="shared" si="30" ref="P66:P80">F66*O66</f>
        <v>0</v>
      </c>
      <c r="Q66" s="38"/>
      <c r="R66" s="13">
        <f aca="true" t="shared" si="31" ref="R66:R80">(J66+L66+N66+P66)*Q66</f>
        <v>0</v>
      </c>
      <c r="S66" s="13">
        <f aca="true" t="shared" si="32" ref="S66:S80">J66+L66+N66+P66+R66</f>
        <v>0</v>
      </c>
      <c r="T66" s="38"/>
      <c r="U66" s="13">
        <f aca="true" t="shared" si="33" ref="U66:U80">S66*T66</f>
        <v>0</v>
      </c>
      <c r="V66" s="13">
        <f aca="true" t="shared" si="34" ref="V66:V80">S66+U66</f>
        <v>0</v>
      </c>
      <c r="W66" s="3"/>
      <c r="X66" s="3"/>
      <c r="Y66" s="3"/>
      <c r="AB66" s="43"/>
      <c r="AC66" s="80"/>
    </row>
    <row r="67" spans="1:29" s="4" customFormat="1" ht="11.25">
      <c r="A67" s="50">
        <v>2.04</v>
      </c>
      <c r="B67" s="3"/>
      <c r="C67" s="3"/>
      <c r="D67" s="3" t="s">
        <v>113</v>
      </c>
      <c r="E67" s="3" t="s">
        <v>114</v>
      </c>
      <c r="F67" s="64">
        <v>75</v>
      </c>
      <c r="G67" s="57" t="s">
        <v>77</v>
      </c>
      <c r="H67" s="13"/>
      <c r="I67" s="13">
        <f t="shared" si="27"/>
        <v>0</v>
      </c>
      <c r="J67" s="13">
        <f t="shared" si="26"/>
        <v>0</v>
      </c>
      <c r="K67" s="13"/>
      <c r="L67" s="13">
        <f t="shared" si="28"/>
        <v>0</v>
      </c>
      <c r="M67" s="65">
        <f>223.1*12</f>
        <v>2677.2</v>
      </c>
      <c r="N67" s="13">
        <f t="shared" si="29"/>
        <v>200790</v>
      </c>
      <c r="O67" s="13"/>
      <c r="P67" s="13">
        <f t="shared" si="30"/>
        <v>0</v>
      </c>
      <c r="Q67" s="38"/>
      <c r="R67" s="13">
        <f t="shared" si="31"/>
        <v>0</v>
      </c>
      <c r="S67" s="13">
        <f t="shared" si="32"/>
        <v>200790</v>
      </c>
      <c r="T67" s="38">
        <v>0.25</v>
      </c>
      <c r="U67" s="13">
        <f t="shared" si="33"/>
        <v>50197.5</v>
      </c>
      <c r="V67" s="13">
        <f t="shared" si="34"/>
        <v>250987.5</v>
      </c>
      <c r="W67" s="3"/>
      <c r="X67" s="3"/>
      <c r="Y67" s="3"/>
      <c r="AB67" s="43"/>
      <c r="AC67" s="80"/>
    </row>
    <row r="68" spans="1:29" s="4" customFormat="1" ht="22.5">
      <c r="A68" s="50">
        <v>2.05</v>
      </c>
      <c r="B68" s="3"/>
      <c r="C68" s="3"/>
      <c r="D68" s="3" t="s">
        <v>47</v>
      </c>
      <c r="E68" s="3" t="s">
        <v>101</v>
      </c>
      <c r="F68" s="64"/>
      <c r="G68" s="2"/>
      <c r="H68" s="13"/>
      <c r="I68" s="13">
        <f t="shared" si="27"/>
        <v>0</v>
      </c>
      <c r="J68" s="13">
        <f t="shared" si="26"/>
        <v>0</v>
      </c>
      <c r="K68" s="13"/>
      <c r="L68" s="13">
        <f t="shared" si="28"/>
        <v>0</v>
      </c>
      <c r="M68" s="13"/>
      <c r="N68" s="13">
        <f t="shared" si="29"/>
        <v>0</v>
      </c>
      <c r="O68" s="13"/>
      <c r="P68" s="13">
        <f t="shared" si="30"/>
        <v>0</v>
      </c>
      <c r="Q68" s="38"/>
      <c r="R68" s="13">
        <f t="shared" si="31"/>
        <v>0</v>
      </c>
      <c r="S68" s="13">
        <f t="shared" si="32"/>
        <v>0</v>
      </c>
      <c r="T68" s="38"/>
      <c r="U68" s="13">
        <f t="shared" si="33"/>
        <v>0</v>
      </c>
      <c r="V68" s="13">
        <f t="shared" si="34"/>
        <v>0</v>
      </c>
      <c r="W68" s="3"/>
      <c r="X68" s="3"/>
      <c r="Y68" s="3"/>
      <c r="AB68" s="43"/>
      <c r="AC68" s="80"/>
    </row>
    <row r="69" spans="1:29" s="4" customFormat="1" ht="11.25">
      <c r="A69" s="50">
        <v>2.06</v>
      </c>
      <c r="B69" s="3"/>
      <c r="C69" s="3"/>
      <c r="D69" s="3" t="s">
        <v>48</v>
      </c>
      <c r="E69" s="3" t="s">
        <v>101</v>
      </c>
      <c r="F69" s="64"/>
      <c r="G69" s="2"/>
      <c r="H69" s="13"/>
      <c r="I69" s="13">
        <f t="shared" si="27"/>
        <v>0</v>
      </c>
      <c r="J69" s="13">
        <f t="shared" si="26"/>
        <v>0</v>
      </c>
      <c r="K69" s="13"/>
      <c r="L69" s="13">
        <f t="shared" si="28"/>
        <v>0</v>
      </c>
      <c r="M69" s="13"/>
      <c r="N69" s="13">
        <f t="shared" si="29"/>
        <v>0</v>
      </c>
      <c r="O69" s="13"/>
      <c r="P69" s="13">
        <f t="shared" si="30"/>
        <v>0</v>
      </c>
      <c r="Q69" s="38"/>
      <c r="R69" s="13">
        <f t="shared" si="31"/>
        <v>0</v>
      </c>
      <c r="S69" s="13">
        <f t="shared" si="32"/>
        <v>0</v>
      </c>
      <c r="T69" s="38"/>
      <c r="U69" s="13">
        <f t="shared" si="33"/>
        <v>0</v>
      </c>
      <c r="V69" s="13">
        <f t="shared" si="34"/>
        <v>0</v>
      </c>
      <c r="W69" s="3"/>
      <c r="X69" s="3"/>
      <c r="Y69" s="3"/>
      <c r="AB69" s="43"/>
      <c r="AC69" s="80"/>
    </row>
    <row r="70" spans="1:29" s="4" customFormat="1" ht="11.25">
      <c r="A70" s="50">
        <v>2.07</v>
      </c>
      <c r="B70" s="3"/>
      <c r="C70" s="3"/>
      <c r="D70" s="3" t="s">
        <v>49</v>
      </c>
      <c r="E70" s="3" t="s">
        <v>101</v>
      </c>
      <c r="F70" s="64"/>
      <c r="G70" s="2"/>
      <c r="H70" s="13"/>
      <c r="I70" s="13">
        <f t="shared" si="27"/>
        <v>0</v>
      </c>
      <c r="J70" s="13">
        <f t="shared" si="26"/>
        <v>0</v>
      </c>
      <c r="K70" s="13"/>
      <c r="L70" s="13">
        <f t="shared" si="28"/>
        <v>0</v>
      </c>
      <c r="M70" s="13"/>
      <c r="N70" s="13">
        <f t="shared" si="29"/>
        <v>0</v>
      </c>
      <c r="O70" s="13"/>
      <c r="P70" s="13">
        <f t="shared" si="30"/>
        <v>0</v>
      </c>
      <c r="Q70" s="38"/>
      <c r="R70" s="13">
        <f t="shared" si="31"/>
        <v>0</v>
      </c>
      <c r="S70" s="13">
        <f t="shared" si="32"/>
        <v>0</v>
      </c>
      <c r="T70" s="38"/>
      <c r="U70" s="13">
        <f t="shared" si="33"/>
        <v>0</v>
      </c>
      <c r="V70" s="13">
        <f t="shared" si="34"/>
        <v>0</v>
      </c>
      <c r="W70" s="3"/>
      <c r="X70" s="3"/>
      <c r="Y70" s="3"/>
      <c r="AB70" s="43"/>
      <c r="AC70" s="80"/>
    </row>
    <row r="71" spans="1:29" s="4" customFormat="1" ht="49.5" customHeight="1">
      <c r="A71" s="50">
        <v>2.08</v>
      </c>
      <c r="B71" s="3"/>
      <c r="C71" s="3"/>
      <c r="D71" s="3" t="s">
        <v>50</v>
      </c>
      <c r="E71" s="3" t="s">
        <v>98</v>
      </c>
      <c r="F71" s="64">
        <v>90</v>
      </c>
      <c r="G71" s="57" t="s">
        <v>93</v>
      </c>
      <c r="H71" s="13"/>
      <c r="I71" s="13">
        <f>F71*H71</f>
        <v>0</v>
      </c>
      <c r="J71" s="13">
        <f t="shared" si="26"/>
        <v>0</v>
      </c>
      <c r="K71" s="13"/>
      <c r="L71" s="13">
        <f>F71*K71</f>
        <v>0</v>
      </c>
      <c r="M71" s="62">
        <f>984+(2*80)</f>
        <v>1144</v>
      </c>
      <c r="N71" s="13">
        <f>F71*M71</f>
        <v>102960</v>
      </c>
      <c r="O71" s="13"/>
      <c r="P71" s="13">
        <f>F71*O71</f>
        <v>0</v>
      </c>
      <c r="Q71" s="38"/>
      <c r="R71" s="13">
        <f>(J71+L71+N71+P71)*Q71</f>
        <v>0</v>
      </c>
      <c r="S71" s="13">
        <f>J71+L71+N71+P71+R71</f>
        <v>102960</v>
      </c>
      <c r="T71" s="38">
        <v>0.25</v>
      </c>
      <c r="U71" s="13">
        <f>S71*T71</f>
        <v>25740</v>
      </c>
      <c r="V71" s="13">
        <f>S71+U71</f>
        <v>128700</v>
      </c>
      <c r="W71" s="3"/>
      <c r="X71" s="3"/>
      <c r="Y71" s="3"/>
      <c r="AB71" s="43"/>
      <c r="AC71" s="80"/>
    </row>
    <row r="72" spans="1:29" s="4" customFormat="1" ht="11.25">
      <c r="A72" s="50">
        <v>2.09</v>
      </c>
      <c r="B72" s="3"/>
      <c r="C72" s="3"/>
      <c r="D72" s="3" t="s">
        <v>51</v>
      </c>
      <c r="E72" s="3" t="s">
        <v>101</v>
      </c>
      <c r="F72" s="64"/>
      <c r="G72" s="2"/>
      <c r="H72" s="13"/>
      <c r="I72" s="13">
        <f>F72*H72</f>
        <v>0</v>
      </c>
      <c r="J72" s="13">
        <f t="shared" si="26"/>
        <v>0</v>
      </c>
      <c r="K72" s="13"/>
      <c r="L72" s="13">
        <f>F72*K72</f>
        <v>0</v>
      </c>
      <c r="M72" s="13"/>
      <c r="N72" s="13">
        <f>F72*M72</f>
        <v>0</v>
      </c>
      <c r="O72" s="13"/>
      <c r="P72" s="13">
        <f>F72*O72</f>
        <v>0</v>
      </c>
      <c r="Q72" s="38"/>
      <c r="R72" s="13">
        <f>(J72+L72+N72+P72)*Q72</f>
        <v>0</v>
      </c>
      <c r="S72" s="13">
        <f>J72+L72+N72+P72+R72</f>
        <v>0</v>
      </c>
      <c r="T72" s="38"/>
      <c r="U72" s="13">
        <f>S72*T72</f>
        <v>0</v>
      </c>
      <c r="V72" s="13">
        <f>S72+U72</f>
        <v>0</v>
      </c>
      <c r="W72" s="3"/>
      <c r="X72" s="3"/>
      <c r="Y72" s="3"/>
      <c r="AB72" s="43"/>
      <c r="AC72" s="80"/>
    </row>
    <row r="73" spans="1:29" s="4" customFormat="1" ht="11.25">
      <c r="A73" s="50">
        <v>2.1</v>
      </c>
      <c r="B73" s="3"/>
      <c r="C73" s="3"/>
      <c r="D73" s="3" t="s">
        <v>52</v>
      </c>
      <c r="E73" s="3" t="s">
        <v>112</v>
      </c>
      <c r="F73" s="64">
        <v>4</v>
      </c>
      <c r="G73" s="57" t="s">
        <v>117</v>
      </c>
      <c r="H73" s="13"/>
      <c r="I73" s="13">
        <f>F73*H73</f>
        <v>0</v>
      </c>
      <c r="J73" s="13">
        <f t="shared" si="26"/>
        <v>0</v>
      </c>
      <c r="K73" s="13"/>
      <c r="L73" s="13">
        <f>F73*K73</f>
        <v>0</v>
      </c>
      <c r="M73" s="62">
        <v>9361.68</v>
      </c>
      <c r="N73" s="13">
        <f>F73*M73</f>
        <v>37446.72</v>
      </c>
      <c r="O73" s="13"/>
      <c r="P73" s="13">
        <f>F73*O73</f>
        <v>0</v>
      </c>
      <c r="Q73" s="38"/>
      <c r="R73" s="13">
        <f>(J73+L73+N73+P73)*Q73</f>
        <v>0</v>
      </c>
      <c r="S73" s="13">
        <f>J73+L73+N73+P73+R73</f>
        <v>37446.72</v>
      </c>
      <c r="T73" s="38">
        <v>0.25</v>
      </c>
      <c r="U73" s="13">
        <f>S73*T73</f>
        <v>9361.68</v>
      </c>
      <c r="V73" s="13">
        <f>S73+U73</f>
        <v>46808.4</v>
      </c>
      <c r="W73" s="3"/>
      <c r="X73" s="3"/>
      <c r="Y73" s="3"/>
      <c r="AB73" s="43"/>
      <c r="AC73" s="80"/>
    </row>
    <row r="74" spans="1:29" s="4" customFormat="1" ht="11.25">
      <c r="A74" s="50">
        <v>2.11</v>
      </c>
      <c r="B74" s="3"/>
      <c r="C74" s="3"/>
      <c r="D74" s="3" t="s">
        <v>53</v>
      </c>
      <c r="E74" s="3" t="s">
        <v>101</v>
      </c>
      <c r="F74" s="64"/>
      <c r="G74" s="2"/>
      <c r="H74" s="13"/>
      <c r="I74" s="13">
        <f>F74*H74</f>
        <v>0</v>
      </c>
      <c r="J74" s="13">
        <f t="shared" si="26"/>
        <v>0</v>
      </c>
      <c r="K74" s="13"/>
      <c r="L74" s="13">
        <f>F74*K74</f>
        <v>0</v>
      </c>
      <c r="M74" s="13"/>
      <c r="N74" s="13">
        <f>F74*M74</f>
        <v>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0</v>
      </c>
      <c r="T74" s="38"/>
      <c r="U74" s="13">
        <f>S74*T74</f>
        <v>0</v>
      </c>
      <c r="V74" s="13">
        <f>S74+U74</f>
        <v>0</v>
      </c>
      <c r="W74" s="3"/>
      <c r="X74" s="3"/>
      <c r="Y74" s="3"/>
      <c r="AB74" s="43"/>
      <c r="AC74" s="80"/>
    </row>
    <row r="75" spans="1:29" s="4" customFormat="1" ht="11.25">
      <c r="A75" s="50">
        <v>2.12</v>
      </c>
      <c r="B75" s="3"/>
      <c r="C75" s="3"/>
      <c r="D75" s="3" t="s">
        <v>54</v>
      </c>
      <c r="E75" s="3" t="s">
        <v>101</v>
      </c>
      <c r="F75" s="64"/>
      <c r="G75" s="2"/>
      <c r="H75" s="13"/>
      <c r="I75" s="13">
        <f>F75*H75</f>
        <v>0</v>
      </c>
      <c r="J75" s="13">
        <f t="shared" si="26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0"/>
    </row>
    <row r="76" spans="1:29" s="4" customFormat="1" ht="11.25">
      <c r="A76" s="50">
        <v>2.13</v>
      </c>
      <c r="B76" s="3"/>
      <c r="C76" s="3"/>
      <c r="D76" s="3" t="s">
        <v>55</v>
      </c>
      <c r="E76" s="3" t="s">
        <v>101</v>
      </c>
      <c r="F76" s="64"/>
      <c r="G76" s="2"/>
      <c r="H76" s="13"/>
      <c r="I76" s="13">
        <f t="shared" si="27"/>
        <v>0</v>
      </c>
      <c r="J76" s="13">
        <f t="shared" si="26"/>
        <v>0</v>
      </c>
      <c r="K76" s="13"/>
      <c r="L76" s="13">
        <f t="shared" si="28"/>
        <v>0</v>
      </c>
      <c r="M76" s="13"/>
      <c r="N76" s="13">
        <f t="shared" si="29"/>
        <v>0</v>
      </c>
      <c r="O76" s="13"/>
      <c r="P76" s="13">
        <f t="shared" si="30"/>
        <v>0</v>
      </c>
      <c r="Q76" s="38"/>
      <c r="R76" s="13">
        <f t="shared" si="31"/>
        <v>0</v>
      </c>
      <c r="S76" s="13">
        <f t="shared" si="32"/>
        <v>0</v>
      </c>
      <c r="T76" s="38"/>
      <c r="U76" s="13">
        <f t="shared" si="33"/>
        <v>0</v>
      </c>
      <c r="V76" s="13">
        <f t="shared" si="34"/>
        <v>0</v>
      </c>
      <c r="W76" s="3"/>
      <c r="X76" s="3"/>
      <c r="Y76" s="3"/>
      <c r="AB76" s="43"/>
      <c r="AC76" s="80"/>
    </row>
    <row r="77" spans="1:29" s="4" customFormat="1" ht="22.5">
      <c r="A77" s="50">
        <v>2.14</v>
      </c>
      <c r="B77" s="3"/>
      <c r="C77" s="3"/>
      <c r="D77" s="3" t="s">
        <v>56</v>
      </c>
      <c r="E77" s="3"/>
      <c r="F77" s="66">
        <v>0.02</v>
      </c>
      <c r="G77" s="57"/>
      <c r="H77" s="13"/>
      <c r="I77" s="13">
        <f t="shared" si="27"/>
        <v>0</v>
      </c>
      <c r="J77" s="13">
        <f t="shared" si="26"/>
        <v>0</v>
      </c>
      <c r="K77" s="13"/>
      <c r="L77" s="13">
        <f t="shared" si="28"/>
        <v>0</v>
      </c>
      <c r="M77" s="62">
        <f>S60</f>
        <v>6927119.353659259</v>
      </c>
      <c r="N77" s="13">
        <f t="shared" si="29"/>
        <v>138542.38707318518</v>
      </c>
      <c r="O77" s="13"/>
      <c r="P77" s="13">
        <f t="shared" si="30"/>
        <v>0</v>
      </c>
      <c r="Q77" s="38"/>
      <c r="R77" s="13">
        <f t="shared" si="31"/>
        <v>0</v>
      </c>
      <c r="S77" s="13">
        <f t="shared" si="32"/>
        <v>138542.38707318518</v>
      </c>
      <c r="T77" s="38">
        <v>0.25</v>
      </c>
      <c r="U77" s="13">
        <f t="shared" si="33"/>
        <v>34635.596768296295</v>
      </c>
      <c r="V77" s="13">
        <f t="shared" si="34"/>
        <v>173177.98384148147</v>
      </c>
      <c r="W77" s="3"/>
      <c r="X77" s="3"/>
      <c r="Y77" s="3"/>
      <c r="AB77" s="43"/>
      <c r="AC77" s="80"/>
    </row>
    <row r="78" spans="1:29" s="4" customFormat="1" ht="22.5">
      <c r="A78" s="50">
        <v>2.15</v>
      </c>
      <c r="B78" s="3"/>
      <c r="C78" s="3"/>
      <c r="D78" s="3" t="s">
        <v>63</v>
      </c>
      <c r="E78" s="3"/>
      <c r="F78" s="66">
        <v>0.02</v>
      </c>
      <c r="G78" s="2"/>
      <c r="H78" s="13"/>
      <c r="I78" s="13">
        <f t="shared" si="27"/>
        <v>0</v>
      </c>
      <c r="J78" s="13">
        <f t="shared" si="26"/>
        <v>0</v>
      </c>
      <c r="K78" s="13"/>
      <c r="L78" s="13">
        <f t="shared" si="28"/>
        <v>0</v>
      </c>
      <c r="M78" s="62">
        <f>S60</f>
        <v>6927119.353659259</v>
      </c>
      <c r="N78" s="13">
        <f t="shared" si="29"/>
        <v>138542.38707318518</v>
      </c>
      <c r="O78" s="13"/>
      <c r="P78" s="13">
        <f t="shared" si="30"/>
        <v>0</v>
      </c>
      <c r="Q78" s="38"/>
      <c r="R78" s="13">
        <f t="shared" si="31"/>
        <v>0</v>
      </c>
      <c r="S78" s="13">
        <f t="shared" si="32"/>
        <v>138542.38707318518</v>
      </c>
      <c r="T78" s="38">
        <v>0.25</v>
      </c>
      <c r="U78" s="13">
        <f t="shared" si="33"/>
        <v>34635.596768296295</v>
      </c>
      <c r="V78" s="13">
        <f t="shared" si="34"/>
        <v>173177.98384148147</v>
      </c>
      <c r="W78" s="3"/>
      <c r="X78" s="3"/>
      <c r="Y78" s="3"/>
      <c r="AB78" s="43"/>
      <c r="AC78" s="80"/>
    </row>
    <row r="79" spans="1:25" s="4" customFormat="1" ht="11.25">
      <c r="A79" s="50">
        <v>2.16</v>
      </c>
      <c r="B79" s="3"/>
      <c r="C79" s="3"/>
      <c r="D79" s="3" t="s">
        <v>57</v>
      </c>
      <c r="E79" s="3" t="s">
        <v>101</v>
      </c>
      <c r="F79" s="64"/>
      <c r="G79" s="2"/>
      <c r="H79" s="13"/>
      <c r="I79" s="13">
        <f t="shared" si="27"/>
        <v>0</v>
      </c>
      <c r="J79" s="13">
        <f t="shared" si="26"/>
        <v>0</v>
      </c>
      <c r="K79" s="13"/>
      <c r="L79" s="13">
        <f t="shared" si="28"/>
        <v>0</v>
      </c>
      <c r="M79" s="13"/>
      <c r="N79" s="13">
        <f t="shared" si="29"/>
        <v>0</v>
      </c>
      <c r="O79" s="13"/>
      <c r="P79" s="13">
        <f t="shared" si="30"/>
        <v>0</v>
      </c>
      <c r="Q79" s="38"/>
      <c r="R79" s="13">
        <f t="shared" si="31"/>
        <v>0</v>
      </c>
      <c r="S79" s="13">
        <f t="shared" si="32"/>
        <v>0</v>
      </c>
      <c r="T79" s="38"/>
      <c r="U79" s="13">
        <f t="shared" si="33"/>
        <v>0</v>
      </c>
      <c r="V79" s="13">
        <f t="shared" si="34"/>
        <v>0</v>
      </c>
      <c r="W79" s="3"/>
      <c r="X79" s="3"/>
      <c r="Y79" s="3"/>
    </row>
    <row r="80" spans="1:29" s="4" customFormat="1" ht="11.25">
      <c r="A80" s="50">
        <v>2.17</v>
      </c>
      <c r="B80" s="3"/>
      <c r="C80" s="3"/>
      <c r="D80" s="3" t="s">
        <v>58</v>
      </c>
      <c r="E80" s="3" t="s">
        <v>101</v>
      </c>
      <c r="F80" s="64"/>
      <c r="G80" s="2"/>
      <c r="H80" s="13"/>
      <c r="I80" s="13">
        <f t="shared" si="27"/>
        <v>0</v>
      </c>
      <c r="J80" s="13">
        <f t="shared" si="26"/>
        <v>0</v>
      </c>
      <c r="K80" s="13"/>
      <c r="L80" s="13">
        <f t="shared" si="28"/>
        <v>0</v>
      </c>
      <c r="M80" s="13"/>
      <c r="N80" s="13">
        <f t="shared" si="29"/>
        <v>0</v>
      </c>
      <c r="O80" s="13"/>
      <c r="P80" s="13">
        <f t="shared" si="30"/>
        <v>0</v>
      </c>
      <c r="Q80" s="38"/>
      <c r="R80" s="13">
        <f t="shared" si="31"/>
        <v>0</v>
      </c>
      <c r="S80" s="13">
        <f t="shared" si="32"/>
        <v>0</v>
      </c>
      <c r="T80" s="38"/>
      <c r="U80" s="13">
        <f t="shared" si="33"/>
        <v>0</v>
      </c>
      <c r="V80" s="13">
        <f t="shared" si="34"/>
        <v>0</v>
      </c>
      <c r="W80" s="3"/>
      <c r="X80" s="3"/>
      <c r="Y80" s="3"/>
      <c r="AB80" s="43"/>
      <c r="AC80" s="80"/>
    </row>
    <row r="81" spans="2:29" s="14" customFormat="1" ht="24.75" customHeight="1">
      <c r="B81" s="118" t="s">
        <v>39</v>
      </c>
      <c r="C81" s="119"/>
      <c r="D81" s="119"/>
      <c r="E81" s="119"/>
      <c r="F81" s="119"/>
      <c r="G81" s="119"/>
      <c r="H81" s="120"/>
      <c r="I81" s="36">
        <f>SUM(I64:I80)</f>
        <v>0</v>
      </c>
      <c r="J81" s="36">
        <f>SUM(J64:J80)</f>
        <v>0</v>
      </c>
      <c r="K81" s="35"/>
      <c r="L81" s="36">
        <f>SUM(L64:L80)</f>
        <v>0</v>
      </c>
      <c r="M81" s="35"/>
      <c r="N81" s="36">
        <f>SUM(N64:N80)</f>
        <v>2691812.9947561487</v>
      </c>
      <c r="O81" s="35"/>
      <c r="P81" s="36">
        <f>SUM(P64:P80)</f>
        <v>0</v>
      </c>
      <c r="Q81" s="41">
        <f>R81/S81</f>
        <v>0</v>
      </c>
      <c r="R81" s="36">
        <f>SUM(R64:R80)</f>
        <v>0</v>
      </c>
      <c r="S81" s="36">
        <f>SUM(S64:S80)</f>
        <v>2691812.9947561487</v>
      </c>
      <c r="T81" s="41">
        <f>U81/S81</f>
        <v>0.25</v>
      </c>
      <c r="U81" s="36">
        <f>SUM(U64:U80)</f>
        <v>672953.2486890372</v>
      </c>
      <c r="V81" s="36">
        <f>SUM(V64:V80)</f>
        <v>3364766.2434451855</v>
      </c>
      <c r="W81" s="4"/>
      <c r="X81" s="4"/>
      <c r="Y81" s="4"/>
      <c r="AA81" s="4"/>
      <c r="AB81" s="43"/>
      <c r="AC81" s="80"/>
    </row>
    <row r="82" spans="2:29" s="4" customFormat="1" ht="4.5" customHeight="1">
      <c r="B82" s="45"/>
      <c r="C82" s="45"/>
      <c r="D82" s="45"/>
      <c r="E82" s="45"/>
      <c r="F82" s="46"/>
      <c r="G82" s="61"/>
      <c r="H82" s="46"/>
      <c r="I82" s="46"/>
      <c r="J82" s="46"/>
      <c r="K82" s="46"/>
      <c r="L82" s="46"/>
      <c r="M82" s="46"/>
      <c r="N82" s="46"/>
      <c r="O82" s="46"/>
      <c r="P82" s="46"/>
      <c r="Q82" s="47"/>
      <c r="R82" s="46"/>
      <c r="S82" s="46"/>
      <c r="T82" s="47"/>
      <c r="U82" s="46"/>
      <c r="V82" s="46"/>
      <c r="W82" s="45"/>
      <c r="X82" s="45"/>
      <c r="Y82" s="45"/>
      <c r="AA82" s="14"/>
      <c r="AB82" s="97"/>
      <c r="AC82" s="80"/>
    </row>
    <row r="83" spans="2:29" s="4" customFormat="1" ht="11.25">
      <c r="B83" s="49" t="s">
        <v>40</v>
      </c>
      <c r="C83" s="45"/>
      <c r="D83" s="45"/>
      <c r="E83" s="45"/>
      <c r="F83" s="46"/>
      <c r="G83" s="61"/>
      <c r="H83" s="46"/>
      <c r="I83" s="46"/>
      <c r="J83" s="46"/>
      <c r="K83" s="46"/>
      <c r="L83" s="46"/>
      <c r="M83" s="46"/>
      <c r="N83" s="46"/>
      <c r="O83" s="46"/>
      <c r="P83" s="46"/>
      <c r="Q83" s="47"/>
      <c r="R83" s="46"/>
      <c r="S83" s="46"/>
      <c r="T83" s="47"/>
      <c r="U83" s="46"/>
      <c r="V83" s="46"/>
      <c r="W83" s="45"/>
      <c r="X83" s="45"/>
      <c r="Y83" s="45"/>
      <c r="AB83" s="43"/>
      <c r="AC83" s="80"/>
    </row>
    <row r="84" spans="2:29" s="4" customFormat="1" ht="4.5" customHeight="1">
      <c r="B84" s="45"/>
      <c r="C84" s="45"/>
      <c r="D84" s="45"/>
      <c r="E84" s="45"/>
      <c r="F84" s="46"/>
      <c r="G84" s="61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46"/>
      <c r="S84" s="46"/>
      <c r="T84" s="47"/>
      <c r="U84" s="46"/>
      <c r="V84" s="46"/>
      <c r="W84" s="45"/>
      <c r="X84" s="45"/>
      <c r="Y84" s="45"/>
      <c r="AB84" s="43"/>
      <c r="AC84" s="80"/>
    </row>
    <row r="85" spans="1:29" s="4" customFormat="1" ht="11.25">
      <c r="A85" s="50">
        <v>3.01</v>
      </c>
      <c r="B85" s="3"/>
      <c r="C85" s="3"/>
      <c r="D85" s="3" t="s">
        <v>42</v>
      </c>
      <c r="E85" s="3"/>
      <c r="F85" s="66">
        <v>0.1</v>
      </c>
      <c r="G85" s="2"/>
      <c r="H85" s="13"/>
      <c r="I85" s="13">
        <f>F85*H85</f>
        <v>0</v>
      </c>
      <c r="J85" s="13">
        <f>I85*$L$8</f>
        <v>0</v>
      </c>
      <c r="K85" s="13"/>
      <c r="L85" s="13">
        <f>F85*K85</f>
        <v>0</v>
      </c>
      <c r="M85" s="65">
        <f>S60+S81</f>
        <v>9618932.348415408</v>
      </c>
      <c r="N85" s="13">
        <f>F85*M85</f>
        <v>961893.2348415409</v>
      </c>
      <c r="O85" s="13"/>
      <c r="P85" s="13">
        <f>F85*O85</f>
        <v>0</v>
      </c>
      <c r="Q85" s="38"/>
      <c r="R85" s="13">
        <f>(J85+L85+N85+P85)*Q85</f>
        <v>0</v>
      </c>
      <c r="S85" s="13">
        <f>J85+L85+N85+P85+R85</f>
        <v>961893.2348415409</v>
      </c>
      <c r="T85" s="38">
        <v>0.25</v>
      </c>
      <c r="U85" s="13">
        <f>S85*T85</f>
        <v>240473.30871038523</v>
      </c>
      <c r="V85" s="13">
        <f>S85+U85</f>
        <v>1202366.543551926</v>
      </c>
      <c r="W85" s="3"/>
      <c r="X85" s="3"/>
      <c r="Y85" s="3"/>
      <c r="AB85" s="43"/>
      <c r="AC85" s="80"/>
    </row>
    <row r="86" spans="1:29" s="4" customFormat="1" ht="11.25">
      <c r="A86" s="50">
        <v>3.02</v>
      </c>
      <c r="B86" s="3"/>
      <c r="C86" s="3"/>
      <c r="D86" s="3" t="s">
        <v>32</v>
      </c>
      <c r="E86" s="3"/>
      <c r="F86" s="13"/>
      <c r="G86" s="2"/>
      <c r="H86" s="13"/>
      <c r="I86" s="13">
        <f>F86*H86</f>
        <v>0</v>
      </c>
      <c r="J86" s="13">
        <f>I86*$L$8</f>
        <v>0</v>
      </c>
      <c r="K86" s="13"/>
      <c r="L86" s="13">
        <f>F86*K86</f>
        <v>0</v>
      </c>
      <c r="M86" s="13"/>
      <c r="N86" s="13">
        <f>F86*M86</f>
        <v>0</v>
      </c>
      <c r="O86" s="13"/>
      <c r="P86" s="13">
        <f>F86*O86</f>
        <v>0</v>
      </c>
      <c r="Q86" s="38"/>
      <c r="R86" s="13">
        <f>(J86+L86+N86+P86)*Q86</f>
        <v>0</v>
      </c>
      <c r="S86" s="13">
        <f>J86+L86+N86+P86+R86</f>
        <v>0</v>
      </c>
      <c r="T86" s="38"/>
      <c r="U86" s="13">
        <f>S86*T86</f>
        <v>0</v>
      </c>
      <c r="V86" s="13">
        <f>S86+U86</f>
        <v>0</v>
      </c>
      <c r="W86" s="3"/>
      <c r="X86" s="3"/>
      <c r="Y86" s="3"/>
      <c r="AB86" s="43"/>
      <c r="AC86" s="80"/>
    </row>
    <row r="87" spans="1:29" s="4" customFormat="1" ht="11.25">
      <c r="A87" s="50">
        <v>3.03</v>
      </c>
      <c r="B87" s="3"/>
      <c r="C87" s="3"/>
      <c r="D87" s="3" t="s">
        <v>36</v>
      </c>
      <c r="E87" s="3"/>
      <c r="F87" s="13"/>
      <c r="G87" s="2"/>
      <c r="H87" s="13"/>
      <c r="I87" s="13">
        <f>F87*H87</f>
        <v>0</v>
      </c>
      <c r="J87" s="13">
        <f>I87*$L$8</f>
        <v>0</v>
      </c>
      <c r="K87" s="13"/>
      <c r="L87" s="13">
        <f>F87*K87</f>
        <v>0</v>
      </c>
      <c r="M87" s="13"/>
      <c r="N87" s="13">
        <f>F87*M87</f>
        <v>0</v>
      </c>
      <c r="O87" s="13"/>
      <c r="P87" s="13">
        <f>F87*O87</f>
        <v>0</v>
      </c>
      <c r="Q87" s="38"/>
      <c r="R87" s="13">
        <f>(J87+L87+N87+P87)*Q87</f>
        <v>0</v>
      </c>
      <c r="S87" s="13">
        <f>J87+L87+N87+P87+R87</f>
        <v>0</v>
      </c>
      <c r="T87" s="38"/>
      <c r="U87" s="13">
        <f>S87*T87</f>
        <v>0</v>
      </c>
      <c r="V87" s="13">
        <f>S87+U87</f>
        <v>0</v>
      </c>
      <c r="W87" s="3"/>
      <c r="X87" s="3"/>
      <c r="Y87" s="3"/>
      <c r="AB87" s="43"/>
      <c r="AC87" s="80"/>
    </row>
    <row r="88" spans="2:25" s="14" customFormat="1" ht="24.75" customHeight="1">
      <c r="B88" s="118" t="s">
        <v>41</v>
      </c>
      <c r="C88" s="119"/>
      <c r="D88" s="119"/>
      <c r="E88" s="119"/>
      <c r="F88" s="119"/>
      <c r="G88" s="119"/>
      <c r="H88" s="120"/>
      <c r="I88" s="36">
        <f>SUM(I85:I87)</f>
        <v>0</v>
      </c>
      <c r="J88" s="36">
        <f>SUM(J85:J87)</f>
        <v>0</v>
      </c>
      <c r="K88" s="35"/>
      <c r="L88" s="36">
        <f>SUM(L85:L87)</f>
        <v>0</v>
      </c>
      <c r="M88" s="35"/>
      <c r="N88" s="36">
        <f>SUM(N85:N87)</f>
        <v>961893.2348415409</v>
      </c>
      <c r="O88" s="35"/>
      <c r="P88" s="36">
        <f>SUM(P85:P87)</f>
        <v>0</v>
      </c>
      <c r="Q88" s="41">
        <f>R88/S88</f>
        <v>0</v>
      </c>
      <c r="R88" s="36">
        <f>SUM(R85:R87)</f>
        <v>0</v>
      </c>
      <c r="S88" s="36">
        <f>SUM(S85:S87)</f>
        <v>961893.2348415409</v>
      </c>
      <c r="T88" s="41">
        <f>U88/S88</f>
        <v>0.25</v>
      </c>
      <c r="U88" s="36">
        <f>SUM(U85:U87)</f>
        <v>240473.30871038523</v>
      </c>
      <c r="V88" s="36">
        <f>SUM(V85:V87)</f>
        <v>1202366.543551926</v>
      </c>
      <c r="W88" s="4"/>
      <c r="X88" s="4"/>
      <c r="Y88" s="4"/>
    </row>
    <row r="89" s="4" customFormat="1" ht="11.25">
      <c r="G89" s="12"/>
    </row>
    <row r="90" spans="2:25" s="14" customFormat="1" ht="24.75" customHeight="1">
      <c r="B90" s="118" t="s">
        <v>44</v>
      </c>
      <c r="C90" s="119"/>
      <c r="D90" s="119"/>
      <c r="E90" s="119"/>
      <c r="F90" s="119"/>
      <c r="G90" s="119"/>
      <c r="H90" s="120"/>
      <c r="I90" s="36"/>
      <c r="J90" s="36"/>
      <c r="K90" s="35"/>
      <c r="L90" s="36"/>
      <c r="M90" s="35"/>
      <c r="N90" s="36"/>
      <c r="O90" s="35"/>
      <c r="P90" s="36"/>
      <c r="Q90" s="41"/>
      <c r="R90" s="36"/>
      <c r="S90" s="36">
        <f>S60+S81+S88</f>
        <v>10580825.583256949</v>
      </c>
      <c r="T90" s="41">
        <f>U90/S90</f>
        <v>0.25</v>
      </c>
      <c r="U90" s="36">
        <f>U60+U81+U88</f>
        <v>2645206.395814237</v>
      </c>
      <c r="V90" s="36">
        <f>V60+V81+V88</f>
        <v>13226031.979071185</v>
      </c>
      <c r="W90" s="4"/>
      <c r="X90" s="4"/>
      <c r="Y90" s="4"/>
    </row>
    <row r="91" spans="7:29" s="4" customFormat="1" ht="11.25">
      <c r="G91" s="12"/>
      <c r="AB91" s="96"/>
      <c r="AC91" s="80"/>
    </row>
    <row r="92" s="4" customFormat="1" ht="11.25">
      <c r="G92" s="12"/>
    </row>
    <row r="93" spans="3:25" s="4" customFormat="1" ht="11.25">
      <c r="C93" s="1"/>
      <c r="D93" s="1"/>
      <c r="E93" s="1"/>
      <c r="F93" s="1"/>
      <c r="G93" s="4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Y93" s="1"/>
    </row>
    <row r="94" spans="3:25" s="4" customFormat="1" ht="11.25">
      <c r="C94" s="1"/>
      <c r="D94" s="1"/>
      <c r="E94" s="1"/>
      <c r="F94" s="1"/>
      <c r="G94" s="4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Y94" s="1"/>
    </row>
    <row r="95" spans="3:25" s="4" customFormat="1" ht="11.25">
      <c r="C95" s="1"/>
      <c r="D95" s="1"/>
      <c r="E95" s="1"/>
      <c r="F95" s="1"/>
      <c r="G95" s="4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Y95" s="1"/>
    </row>
    <row r="96" s="4" customFormat="1" ht="11.25">
      <c r="G96" s="12"/>
    </row>
    <row r="97" s="4" customFormat="1" ht="11.25">
      <c r="G97" s="12"/>
    </row>
    <row r="98" s="4" customFormat="1" ht="11.25">
      <c r="G98" s="12"/>
    </row>
    <row r="99" s="4" customFormat="1" ht="11.25">
      <c r="G99" s="12"/>
    </row>
    <row r="100" s="4" customFormat="1" ht="11.25">
      <c r="G100" s="12"/>
    </row>
    <row r="101" s="4" customFormat="1" ht="11.25">
      <c r="G101" s="12"/>
    </row>
    <row r="102" s="4" customFormat="1" ht="11.25">
      <c r="G102" s="12"/>
    </row>
    <row r="103" s="4" customFormat="1" ht="11.25">
      <c r="G103" s="12"/>
    </row>
    <row r="104" s="4" customFormat="1" ht="11.25">
      <c r="G104" s="12"/>
    </row>
    <row r="105" s="4" customFormat="1" ht="11.25">
      <c r="G105" s="12"/>
    </row>
    <row r="106" s="4" customFormat="1" ht="11.25">
      <c r="G106" s="12"/>
    </row>
    <row r="107" s="4" customFormat="1" ht="11.25">
      <c r="G107" s="12"/>
    </row>
    <row r="108" s="4" customFormat="1" ht="11.25">
      <c r="G108" s="12"/>
    </row>
    <row r="109" s="4" customFormat="1" ht="11.25">
      <c r="G109" s="12"/>
    </row>
    <row r="110" s="4" customFormat="1" ht="11.25">
      <c r="G110" s="12"/>
    </row>
    <row r="111" s="4" customFormat="1" ht="11.25">
      <c r="G111" s="12"/>
    </row>
    <row r="112" s="4" customFormat="1" ht="11.25">
      <c r="G112" s="12"/>
    </row>
    <row r="113" s="4" customFormat="1" ht="11.25">
      <c r="G113" s="12"/>
    </row>
    <row r="114" s="4" customFormat="1" ht="11.25">
      <c r="G114" s="12"/>
    </row>
    <row r="115" s="4" customFormat="1" ht="11.25">
      <c r="G115" s="12"/>
    </row>
    <row r="116" s="4" customFormat="1" ht="11.25">
      <c r="G116" s="12"/>
    </row>
    <row r="117" s="4" customFormat="1" ht="11.25">
      <c r="G117" s="12"/>
    </row>
  </sheetData>
  <sheetProtection/>
  <mergeCells count="4">
    <mergeCell ref="B60:H60"/>
    <mergeCell ref="B81:H81"/>
    <mergeCell ref="B88:H88"/>
    <mergeCell ref="B90:H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8" r:id="rId2"/>
  <headerFooter>
    <oddFooter>&amp;CPage &amp;P of &amp;N</oddFooter>
  </headerFooter>
  <ignoredErrors>
    <ignoredError sqref="F4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43"/>
  <sheetViews>
    <sheetView zoomScalePageLayoutView="0" workbookViewId="0" topLeftCell="A1">
      <selection activeCell="D35" sqref="D35:E41"/>
    </sheetView>
  </sheetViews>
  <sheetFormatPr defaultColWidth="9.33203125" defaultRowHeight="11.25"/>
  <cols>
    <col min="2" max="2" width="25.33203125" style="0" bestFit="1" customWidth="1"/>
    <col min="3" max="3" width="11" style="0" customWidth="1"/>
    <col min="4" max="4" width="16.16015625" style="0" customWidth="1"/>
    <col min="5" max="5" width="27.33203125" style="0" bestFit="1" customWidth="1"/>
    <col min="7" max="7" width="25.33203125" style="0" bestFit="1" customWidth="1"/>
    <col min="12" max="12" width="25.33203125" style="0" bestFit="1" customWidth="1"/>
  </cols>
  <sheetData>
    <row r="3" spans="2:7" ht="11.25">
      <c r="B3" s="100" t="s">
        <v>145</v>
      </c>
      <c r="C3" s="99"/>
      <c r="D3" s="103"/>
      <c r="G3" s="106" t="s">
        <v>159</v>
      </c>
    </row>
    <row r="4" spans="2:7" ht="11.25">
      <c r="B4" s="100" t="s">
        <v>141</v>
      </c>
      <c r="C4" s="100" t="s">
        <v>142</v>
      </c>
      <c r="D4" s="103" t="s">
        <v>148</v>
      </c>
      <c r="G4" s="81" t="s">
        <v>144</v>
      </c>
    </row>
    <row r="5" spans="2:7" ht="11.25">
      <c r="B5" s="98" t="s">
        <v>144</v>
      </c>
      <c r="C5" s="99"/>
      <c r="D5" s="104">
        <v>373143.58400000003</v>
      </c>
      <c r="G5" s="81" t="s">
        <v>150</v>
      </c>
    </row>
    <row r="6" spans="2:7" ht="11.25">
      <c r="B6" s="98" t="s">
        <v>150</v>
      </c>
      <c r="C6" s="99"/>
      <c r="D6" s="104">
        <v>1080049.437587286</v>
      </c>
      <c r="G6" s="81" t="s">
        <v>151</v>
      </c>
    </row>
    <row r="7" spans="2:7" ht="11.25">
      <c r="B7" s="98" t="s">
        <v>151</v>
      </c>
      <c r="C7" s="99"/>
      <c r="D7" s="104">
        <v>539904</v>
      </c>
      <c r="G7" s="81" t="s">
        <v>152</v>
      </c>
    </row>
    <row r="8" spans="2:7" ht="11.25">
      <c r="B8" s="98" t="s">
        <v>152</v>
      </c>
      <c r="C8" s="99"/>
      <c r="D8" s="104">
        <v>1295917.9047</v>
      </c>
      <c r="G8" s="81" t="s">
        <v>153</v>
      </c>
    </row>
    <row r="9" spans="2:7" ht="11.25">
      <c r="B9" s="98" t="s">
        <v>153</v>
      </c>
      <c r="C9" s="99"/>
      <c r="D9" s="104">
        <v>13000</v>
      </c>
      <c r="G9" s="81" t="s">
        <v>154</v>
      </c>
    </row>
    <row r="10" spans="2:7" ht="11.25">
      <c r="B10" s="98" t="s">
        <v>154</v>
      </c>
      <c r="C10" s="99"/>
      <c r="D10" s="104">
        <v>20781.35806097778</v>
      </c>
      <c r="G10" s="81" t="s">
        <v>155</v>
      </c>
    </row>
    <row r="11" spans="2:7" ht="11.25">
      <c r="B11" s="98" t="s">
        <v>155</v>
      </c>
      <c r="C11" s="99"/>
      <c r="D11" s="104">
        <v>293451.33800399996</v>
      </c>
      <c r="G11" s="81" t="s">
        <v>156</v>
      </c>
    </row>
    <row r="12" spans="2:7" ht="11.25">
      <c r="B12" s="98" t="s">
        <v>156</v>
      </c>
      <c r="C12" s="99"/>
      <c r="D12" s="104">
        <v>318347.4728</v>
      </c>
      <c r="G12" s="81" t="s">
        <v>143</v>
      </c>
    </row>
    <row r="13" spans="2:4" ht="11.25">
      <c r="B13" s="98" t="s">
        <v>143</v>
      </c>
      <c r="C13" s="99"/>
      <c r="D13" s="104">
        <v>107863.90611555555</v>
      </c>
    </row>
    <row r="14" spans="2:4" ht="11.25">
      <c r="B14" s="98" t="s">
        <v>158</v>
      </c>
      <c r="C14" s="99"/>
      <c r="D14" s="104">
        <v>0</v>
      </c>
    </row>
    <row r="15" spans="2:4" ht="11.25">
      <c r="B15" s="101" t="s">
        <v>157</v>
      </c>
      <c r="C15" s="102"/>
      <c r="D15" s="105">
        <v>4042459.0012678197</v>
      </c>
    </row>
    <row r="18" spans="2:5" ht="11.25">
      <c r="B18" s="83" t="s">
        <v>145</v>
      </c>
      <c r="C18" s="84"/>
      <c r="D18" s="84"/>
      <c r="E18" s="85"/>
    </row>
    <row r="19" spans="2:5" ht="11.25">
      <c r="B19" s="86"/>
      <c r="C19" s="87" t="s">
        <v>146</v>
      </c>
      <c r="D19" s="88"/>
      <c r="E19" s="87" t="s">
        <v>146</v>
      </c>
    </row>
    <row r="20" spans="2:5" ht="11.25">
      <c r="B20" s="89" t="s">
        <v>141</v>
      </c>
      <c r="C20" s="89" t="s">
        <v>147</v>
      </c>
      <c r="D20" s="90" t="s">
        <v>148</v>
      </c>
      <c r="E20" s="89" t="s">
        <v>149</v>
      </c>
    </row>
    <row r="21" spans="2:5" ht="11.25">
      <c r="B21" s="81" t="s">
        <v>144</v>
      </c>
      <c r="C21" s="81"/>
      <c r="D21" s="91">
        <f>GETPIVOTDATA("labour cost",$B$3,"type of labour","Camp  Op &amp; Maintenance")</f>
        <v>373143.58400000003</v>
      </c>
      <c r="E21" s="92">
        <f>D21/$D$30</f>
        <v>0.09230608990294585</v>
      </c>
    </row>
    <row r="22" spans="2:5" ht="11.25">
      <c r="B22" s="81" t="s">
        <v>150</v>
      </c>
      <c r="C22" s="81"/>
      <c r="D22" s="91">
        <f>GETPIVOTDATA("labour cost",$B$3,"type of labour","Engineering")</f>
        <v>1080049.437587286</v>
      </c>
      <c r="E22" s="92">
        <f aca="true" t="shared" si="0" ref="E22:E29">D22/$D$30</f>
        <v>0.2671763491598937</v>
      </c>
    </row>
    <row r="23" spans="2:5" ht="11.25">
      <c r="B23" s="81" t="s">
        <v>151</v>
      </c>
      <c r="C23" s="81"/>
      <c r="D23" s="91">
        <f>GETPIVOTDATA("labour cost",$B$3,"type of labour","Equip Maintenance")</f>
        <v>539904</v>
      </c>
      <c r="E23" s="92">
        <f t="shared" si="0"/>
        <v>0.13355831186678013</v>
      </c>
    </row>
    <row r="24" spans="2:5" ht="11.25">
      <c r="B24" s="81" t="s">
        <v>152</v>
      </c>
      <c r="C24" s="81"/>
      <c r="D24" s="91">
        <f>GETPIVOTDATA("labour cost",$B$3,"type of labour","Equip Op")</f>
        <v>1295917.9047</v>
      </c>
      <c r="E24" s="92">
        <f t="shared" si="0"/>
        <v>0.3205766352345359</v>
      </c>
    </row>
    <row r="25" spans="2:5" ht="11.25">
      <c r="B25" s="81" t="s">
        <v>153</v>
      </c>
      <c r="C25" s="81"/>
      <c r="D25" s="91">
        <f>GETPIVOTDATA("labour cost",$B$3,"type of labour","Equip Op / Equip Maintenance")</f>
        <v>13000</v>
      </c>
      <c r="E25" s="92">
        <f t="shared" si="0"/>
        <v>0.00321586440231623</v>
      </c>
    </row>
    <row r="26" spans="2:5" ht="11.25">
      <c r="B26" s="81" t="s">
        <v>154</v>
      </c>
      <c r="C26" s="81"/>
      <c r="D26" s="91">
        <f>GETPIVOTDATA("labour cost",$B$3,"type of labour","Equip Op / Labour")</f>
        <v>20781.35806097778</v>
      </c>
      <c r="E26" s="92">
        <f t="shared" si="0"/>
        <v>0.005140771509237374</v>
      </c>
    </row>
    <row r="27" spans="2:5" ht="11.25">
      <c r="B27" s="81" t="s">
        <v>155</v>
      </c>
      <c r="C27" s="81"/>
      <c r="D27" s="91">
        <f>GETPIVOTDATA("labour cost",$B$3,"type of labour","Equip Op / Welders / Labour")</f>
        <v>293451.33800399996</v>
      </c>
      <c r="E27" s="92">
        <f t="shared" si="0"/>
        <v>0.0725922855153178</v>
      </c>
    </row>
    <row r="28" spans="2:5" ht="11.25">
      <c r="B28" s="81" t="s">
        <v>156</v>
      </c>
      <c r="C28" s="81"/>
      <c r="D28" s="91">
        <f>GETPIVOTDATA("labour cost",$B$3,"type of labour","Labour")</f>
        <v>318347.4728</v>
      </c>
      <c r="E28" s="92">
        <f t="shared" si="0"/>
        <v>0.07875094656498878</v>
      </c>
    </row>
    <row r="29" spans="2:5" ht="11.25">
      <c r="B29" s="81" t="s">
        <v>143</v>
      </c>
      <c r="C29" s="81"/>
      <c r="D29" s="91">
        <f>GETPIVOTDATA("labour cost",$B$3,"type of labour","Truck Driver")</f>
        <v>107863.90611555555</v>
      </c>
      <c r="E29" s="92">
        <f t="shared" si="0"/>
        <v>0.02668274584398423</v>
      </c>
    </row>
    <row r="30" spans="2:5" ht="11.25">
      <c r="B30" s="83" t="s">
        <v>157</v>
      </c>
      <c r="C30" s="93"/>
      <c r="D30" s="94">
        <f>SUM(D21:D29)</f>
        <v>4042459.0012678197</v>
      </c>
      <c r="E30" s="95">
        <f>SUM(E21:E29)</f>
        <v>1.0000000000000002</v>
      </c>
    </row>
    <row r="33" spans="2:5" ht="11.25">
      <c r="B33" s="83" t="s">
        <v>145</v>
      </c>
      <c r="C33" s="84"/>
      <c r="D33" s="107"/>
      <c r="E33" s="85"/>
    </row>
    <row r="34" spans="2:5" ht="11.25">
      <c r="B34" s="108" t="str">
        <f>B20</f>
        <v>type of labour</v>
      </c>
      <c r="C34" s="84"/>
      <c r="D34" s="109" t="str">
        <f>D20</f>
        <v>Total</v>
      </c>
      <c r="E34" s="110" t="s">
        <v>160</v>
      </c>
    </row>
    <row r="35" spans="2:5" ht="11.25">
      <c r="B35" s="81" t="s">
        <v>152</v>
      </c>
      <c r="C35" s="111"/>
      <c r="D35" s="91">
        <f>D24+(D25*0.6)+(D26*0.5)+(D27*0.4)</f>
        <v>1431489.118932089</v>
      </c>
      <c r="E35" s="112">
        <f aca="true" t="shared" si="1" ref="E35:E40">D35/$D$41</f>
        <v>0.3541134538366715</v>
      </c>
    </row>
    <row r="36" spans="2:5" ht="11.25">
      <c r="B36" s="81" t="s">
        <v>156</v>
      </c>
      <c r="C36" s="111"/>
      <c r="D36" s="91">
        <f>D28+(D26*0.5)+(D27*0.6)</f>
        <v>504808.95463288884</v>
      </c>
      <c r="E36" s="112">
        <f>D36/$D$41</f>
        <v>0.12487670362879814</v>
      </c>
    </row>
    <row r="37" spans="2:5" ht="11.25">
      <c r="B37" s="81" t="s">
        <v>143</v>
      </c>
      <c r="C37" s="111"/>
      <c r="D37" s="91">
        <f>D29</f>
        <v>107863.90611555555</v>
      </c>
      <c r="E37" s="112">
        <f t="shared" si="1"/>
        <v>0.02668274584398423</v>
      </c>
    </row>
    <row r="38" spans="2:5" ht="11.25">
      <c r="B38" s="81" t="s">
        <v>151</v>
      </c>
      <c r="C38" s="111"/>
      <c r="D38" s="91">
        <f>D23+(D25*0.4)</f>
        <v>545104</v>
      </c>
      <c r="E38" s="112">
        <f t="shared" si="1"/>
        <v>0.13484465762770662</v>
      </c>
    </row>
    <row r="39" spans="2:5" ht="11.25">
      <c r="B39" s="81" t="s">
        <v>161</v>
      </c>
      <c r="C39" s="111"/>
      <c r="D39" s="91">
        <f>D21</f>
        <v>373143.58400000003</v>
      </c>
      <c r="E39" s="112">
        <f t="shared" si="1"/>
        <v>0.09230608990294585</v>
      </c>
    </row>
    <row r="40" spans="2:5" ht="11.25">
      <c r="B40" s="81" t="s">
        <v>150</v>
      </c>
      <c r="C40" s="111"/>
      <c r="D40" s="91">
        <f>D22</f>
        <v>1080049.437587286</v>
      </c>
      <c r="E40" s="112">
        <f t="shared" si="1"/>
        <v>0.2671763491598937</v>
      </c>
    </row>
    <row r="41" spans="2:5" ht="11.25">
      <c r="B41" s="93" t="s">
        <v>148</v>
      </c>
      <c r="C41" s="113"/>
      <c r="D41" s="114">
        <f>SUM(D35:D40)</f>
        <v>4042459.0012678197</v>
      </c>
      <c r="E41" s="115">
        <f>SUM(E35:E40)</f>
        <v>1</v>
      </c>
    </row>
    <row r="43" ht="11.25">
      <c r="B43" s="82" t="s">
        <v>162</v>
      </c>
    </row>
  </sheetData>
  <sheetProtection/>
  <dataValidations count="1">
    <dataValidation type="list" allowBlank="1" showInputMessage="1" showErrorMessage="1" sqref="G4 B21">
      <formula1>$B$22:$B$30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Jennings, Melissa A.(Vancouver)</cp:lastModifiedBy>
  <cp:lastPrinted>2014-03-25T00:22:16Z</cp:lastPrinted>
  <dcterms:created xsi:type="dcterms:W3CDTF">1998-12-07T19:56:09Z</dcterms:created>
  <dcterms:modified xsi:type="dcterms:W3CDTF">2014-03-25T00:27:34Z</dcterms:modified>
  <cp:category/>
  <cp:version/>
  <cp:contentType/>
  <cp:contentStatus/>
</cp:coreProperties>
</file>