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<sst xmlns="http://schemas.openxmlformats.org/spreadsheetml/2006/main" count="242" uniqueCount="174">
  <si>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</si>
  <si>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</si>
  <si>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</si>
  <si>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</si>
  <si>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</si>
  <si>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</si>
  <si>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</si>
  <si>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</si>
  <si>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</si>
  <si>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</si>
  <si>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</si>
  <si>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</si>
  <si>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</si>
  <si>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</si>
  <si>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</si>
  <si>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</si>
  <si>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</si>
  <si>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</si>
  <si>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</si>
  <si>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</si>
  <si>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</si>
  <si>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</si>
  <si>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</si>
  <si>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</si>
  <si>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</si>
  <si>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</si>
  <si>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</si>
  <si>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</si>
  <si>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</si>
  <si>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</si>
  <si>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</si>
  <si>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</si>
  <si>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</si>
  <si>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</si>
  <si>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</si>
  <si>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</si>
  <si>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</si>
  <si>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</si>
  <si>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</si>
  <si>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</si>
  <si>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</si>
  <si>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</si>
  <si>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</si>
  <si>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</si>
  <si>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</si>
  <si>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</si>
  <si>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</si>
  <si>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</si>
  <si>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</si>
  <si>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</si>
  <si>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</si>
  <si>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</si>
  <si>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</si>
  <si>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</si>
  <si>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</si>
  <si>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</si>
  <si>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</si>
  <si>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</si>
  <si>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</si>
  <si>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</si>
  <si>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</si>
  <si>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</si>
  <si>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</si>
  <si>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</si>
  <si>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</si>
  <si>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</si>
  <si>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</si>
  <si>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Supply, load, haul, assemble, place</t>
  </si>
  <si>
    <t>EA</t>
  </si>
  <si>
    <t>LS</t>
  </si>
  <si>
    <t>SNOW REMOVAL</t>
  </si>
  <si>
    <t>MDY</t>
  </si>
  <si>
    <t>Gabion baskets (3m lg x 1m dp x 0.5m h)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</si>
  <si>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</si>
  <si>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</si>
  <si>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</si>
  <si>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</si>
  <si>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</si>
  <si>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</si>
  <si>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</si>
  <si>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</si>
  <si>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</si>
  <si>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</si>
  <si>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</si>
  <si>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</si>
  <si>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</si>
  <si>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</si>
  <si>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</si>
  <si>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</si>
  <si>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</si>
  <si>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</si>
  <si>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</si>
  <si>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</si>
  <si>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</si>
  <si>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</si>
  <si>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</si>
  <si>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</si>
  <si>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</si>
  <si>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(8 drop structures) 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</si>
  <si>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</si>
  <si>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</si>
  <si>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</si>
  <si>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</si>
  <si>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</si>
  <si>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</si>
  <si>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 xml:space="preserve">1ea-D8 w/ 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</si>
  <si>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</si>
  <si>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</si>
  <si>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</si>
  <si>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</si>
  <si>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1ea-345, 1ea-D8, 7ea-40ton rock truck, 1ea-grader, 1ea-packer. Second Season Remob: 2ea-wheel loaders, 2ea-345</t>
  </si>
  <si>
    <t>Equip Set 1</t>
  </si>
  <si>
    <t>Bulk Earthworks</t>
  </si>
  <si>
    <t>Gabion Drop Structures</t>
  </si>
  <si>
    <t>Rip-rap - 300 mm dia.</t>
  </si>
  <si>
    <t>Water Diversion</t>
  </si>
  <si>
    <t>Aquadam - supply &amp; install</t>
  </si>
  <si>
    <t>Trench 1.6m dp, BF 1m cover, supply &amp; install.</t>
  </si>
  <si>
    <t>LM</t>
  </si>
  <si>
    <t>HDPE pipe &amp; aquadam.</t>
  </si>
  <si>
    <t>6' x 100' lg.</t>
  </si>
  <si>
    <t>ROAD MAINTENANCE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</si>
  <si>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</si>
  <si>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</si>
  <si>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</si>
  <si>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</si>
  <si>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</si>
  <si>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 xml:space="preserve">Gabion rock - 100 to 200 mm dia. </t>
  </si>
  <si>
    <t>Waste dump to channel fill</t>
  </si>
  <si>
    <t>Waste dump to porcupine pit</t>
  </si>
  <si>
    <t>610mm HDPE DR21 pipe</t>
  </si>
  <si>
    <t>Shop truck</t>
  </si>
  <si>
    <t>Temp maintenance shop</t>
  </si>
  <si>
    <t>Shop trailer</t>
  </si>
  <si>
    <t>Pick-up trucks</t>
  </si>
  <si>
    <t>Portable light towers</t>
  </si>
  <si>
    <t>Heavy duty mechanic</t>
  </si>
  <si>
    <t>Fuel truck &amp; driver</t>
  </si>
  <si>
    <t>1ea grader 12hrs/day</t>
  </si>
  <si>
    <t>Fuel bowser</t>
  </si>
  <si>
    <t xml:space="preserve"> *During Road Improvements, Quarry Development &amp; Creek Stabiliztion Work.</t>
  </si>
  <si>
    <t>1ea</t>
  </si>
  <si>
    <t>40 man temporary camp x 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</si>
  <si>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</si>
  <si>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</si>
  <si>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</si>
  <si>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</si>
  <si>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</si>
  <si>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</si>
  <si>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</si>
  <si>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</si>
  <si>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</si>
  <si>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</si>
  <si>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</si>
  <si>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</si>
  <si>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Equip Maintenance</t>
  </si>
  <si>
    <t>Labour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</si>
  <si>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</si>
  <si>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</si>
  <si>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</si>
  <si>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</si>
  <si>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</si>
  <si>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</si>
  <si>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</si>
  <si>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</si>
  <si>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</si>
  <si>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</si>
  <si>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</si>
  <si>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</si>
  <si>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</si>
  <si>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</si>
  <si>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</si>
  <si>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</si>
  <si>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CC-C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</si>
</sst>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9" fontId="0" fillId="0" borderId="0" xfId="101" applyFont="1" applyFill="1" applyAlignment="1">
      <alignment vertical="center"/>
    </xf>
    <xf numFmtId="9" fontId="26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165" fontId="26" fillId="0" borderId="0" xfId="63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9" fontId="0" fillId="46" borderId="26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165" fontId="0" fillId="0" borderId="0" xfId="63" applyFont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76200</xdr:rowOff>
    </xdr:from>
    <xdr:to>
      <xdr:col>21</xdr:col>
      <xdr:colOff>762000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619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3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Equip Maintenance"/>
        <s v="Labour"/>
        <s v="Camp  Op &amp; Maintenance"/>
        <s v="Engineering"/>
      </sharedItems>
    </cacheField>
    <cacheField name="% labour">
      <sharedItems containsString="0" containsBlank="1" containsMixedTypes="0" containsNumber="1" count="13">
        <m/>
        <n v="0.35"/>
        <n v="0.33"/>
        <n v="0.26"/>
        <n v="0.48"/>
        <n v="0"/>
        <n v="1"/>
        <n v="0.1"/>
        <n v="0.6"/>
        <n v="0.2"/>
        <n v="0.05"/>
        <n v="0.95"/>
        <n v="0.4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6"/>
        <item sd="0" x="2"/>
        <item sd="0" x="4"/>
        <item sd="0" x="5"/>
        <item sd="0" x="3"/>
        <item sd="0" x="7"/>
        <item sd="0" x="1"/>
        <item sd="0" x="0"/>
      </items>
    </pivotField>
    <pivotField axis="axisRow" compact="0" outline="0" subtotalTop="0" showAll="0" defaultSubtotal="0">
      <items count="13">
        <item x="5"/>
        <item x="10"/>
        <item x="7"/>
        <item x="9"/>
        <item x="3"/>
        <item x="2"/>
        <item x="1"/>
        <item m="1" x="12"/>
        <item x="4"/>
        <item x="8"/>
        <item x="11"/>
        <item x="6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2" sqref="E12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C-11032014.xls]Summary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CC-C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Costs'!S65,-3)</f>
        <v>8025000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Costs'!S86,-3)</f>
        <v>4963000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Costs'!S90,-3)</f>
        <v>1299000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14287000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0.25001749842514176</v>
      </c>
      <c r="E24" s="34">
        <f>ROUND('Detail Costs'!U95,-3)</f>
        <v>3572000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17859000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2"/>
  <sheetViews>
    <sheetView tabSelected="1" zoomScale="55" zoomScaleNormal="55" zoomScalePageLayoutView="0" workbookViewId="0" topLeftCell="A1">
      <selection activeCell="D101" sqref="D101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8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0.83203125" style="4" customWidth="1"/>
    <col min="25" max="25" width="9.83203125" style="1" customWidth="1"/>
    <col min="26" max="27" width="9.33203125" style="1" customWidth="1"/>
    <col min="28" max="28" width="9.33203125" style="78" customWidth="1"/>
    <col min="29" max="29" width="13.66015625" style="82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C-11032014.xls]Detail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172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173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20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106</v>
      </c>
      <c r="N10" s="22" t="s">
        <v>107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7"/>
      <c r="AB10" s="79"/>
      <c r="AC10" s="83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4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4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4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40">F14*H14</f>
        <v>0</v>
      </c>
      <c r="J14" s="13">
        <f aca="true" t="shared" si="1" ref="J14:J41">I14*$L$8</f>
        <v>0</v>
      </c>
      <c r="K14" s="13"/>
      <c r="L14" s="13">
        <f aca="true" t="shared" si="2" ref="L14:L40">F14*K14</f>
        <v>0</v>
      </c>
      <c r="M14" s="13"/>
      <c r="N14" s="13">
        <f aca="true" t="shared" si="3" ref="N14:N40">F14*M14</f>
        <v>0</v>
      </c>
      <c r="O14" s="13"/>
      <c r="P14" s="13">
        <f aca="true" t="shared" si="4" ref="P14:P40">F14*O14</f>
        <v>0</v>
      </c>
      <c r="Q14" s="38"/>
      <c r="R14" s="13">
        <f aca="true" t="shared" si="5" ref="R14:R40">(J14+L14+N14+P14)*Q14</f>
        <v>0</v>
      </c>
      <c r="S14" s="13">
        <f aca="true" t="shared" si="6" ref="S14:S40">J14+L14+N14+P14+R14</f>
        <v>0</v>
      </c>
      <c r="T14" s="38"/>
      <c r="U14" s="13">
        <f aca="true" t="shared" si="7" ref="U14:U40">S14*T14</f>
        <v>0</v>
      </c>
      <c r="V14" s="13">
        <f aca="true" t="shared" si="8" ref="V14:V40">S14+U14</f>
        <v>0</v>
      </c>
      <c r="W14" s="3"/>
      <c r="X14" s="3"/>
      <c r="Y14" s="3"/>
      <c r="AB14" s="43"/>
      <c r="AC14" s="84"/>
    </row>
    <row r="15" spans="1:29" s="4" customFormat="1" ht="23.25" customHeight="1">
      <c r="A15" s="50">
        <v>1.02</v>
      </c>
      <c r="B15" s="3"/>
      <c r="C15" s="37"/>
      <c r="D15" s="59" t="s">
        <v>73</v>
      </c>
      <c r="E15" s="73" t="s">
        <v>110</v>
      </c>
      <c r="F15" s="64">
        <v>15</v>
      </c>
      <c r="G15" s="57" t="s">
        <v>68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(9361.68*2)</f>
        <v>18723.36</v>
      </c>
      <c r="N15" s="13">
        <f t="shared" si="3"/>
        <v>280850.4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280850.4</v>
      </c>
      <c r="T15" s="38">
        <v>0.25</v>
      </c>
      <c r="U15" s="13">
        <f t="shared" si="7"/>
        <v>70212.6</v>
      </c>
      <c r="V15" s="13">
        <f t="shared" si="8"/>
        <v>351063</v>
      </c>
      <c r="W15" s="3"/>
      <c r="X15" s="3"/>
      <c r="Y15" s="3"/>
      <c r="AB15" s="43"/>
      <c r="AC15" s="84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4"/>
    </row>
    <row r="17" spans="1:29" s="4" customFormat="1" ht="11.25">
      <c r="A17" s="50">
        <v>1.04</v>
      </c>
      <c r="B17" s="3"/>
      <c r="C17" s="37"/>
      <c r="D17" s="59" t="s">
        <v>84</v>
      </c>
      <c r="E17" s="37" t="s">
        <v>85</v>
      </c>
      <c r="F17" s="64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3"/>
      <c r="Y17" s="3"/>
      <c r="AB17" s="43"/>
      <c r="AC17" s="84"/>
    </row>
    <row r="18" spans="1:29" s="4" customFormat="1" ht="11.25">
      <c r="A18" s="50">
        <v>1.05</v>
      </c>
      <c r="B18" s="3"/>
      <c r="C18" s="37"/>
      <c r="D18" s="56" t="s">
        <v>89</v>
      </c>
      <c r="E18" s="37" t="s">
        <v>88</v>
      </c>
      <c r="F18" s="64">
        <v>9</v>
      </c>
      <c r="G18" s="57" t="s">
        <v>86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5">
        <v>11877.51</v>
      </c>
      <c r="N18" s="13">
        <f t="shared" si="3"/>
        <v>106897.59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106897.59</v>
      </c>
      <c r="T18" s="38">
        <v>0.25</v>
      </c>
      <c r="U18" s="13">
        <f t="shared" si="7"/>
        <v>26724.3975</v>
      </c>
      <c r="V18" s="13">
        <f t="shared" si="8"/>
        <v>133621.9875</v>
      </c>
      <c r="W18" s="3"/>
      <c r="X18" s="3"/>
      <c r="Y18" s="3"/>
      <c r="AB18" s="43"/>
      <c r="AC18" s="84"/>
    </row>
    <row r="19" spans="1:29" s="4" customFormat="1" ht="22.5">
      <c r="A19" s="50">
        <v>1.06</v>
      </c>
      <c r="B19" s="3"/>
      <c r="C19" s="37"/>
      <c r="D19" s="56" t="s">
        <v>91</v>
      </c>
      <c r="E19" s="37" t="s">
        <v>93</v>
      </c>
      <c r="F19" s="64">
        <f>4*2*15000</f>
        <v>120000</v>
      </c>
      <c r="G19" s="57" t="s">
        <v>87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62">
        <v>4.63</v>
      </c>
      <c r="N19" s="13">
        <f t="shared" si="3"/>
        <v>555600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555600</v>
      </c>
      <c r="T19" s="38">
        <v>0.25</v>
      </c>
      <c r="U19" s="13">
        <f t="shared" si="7"/>
        <v>138900</v>
      </c>
      <c r="V19" s="13">
        <f t="shared" si="8"/>
        <v>694500</v>
      </c>
      <c r="W19" s="3"/>
      <c r="X19" s="3"/>
      <c r="Y19" s="3"/>
      <c r="AB19" s="43"/>
      <c r="AC19" s="84"/>
    </row>
    <row r="20" spans="1:29" s="4" customFormat="1" ht="11.25">
      <c r="A20" s="50">
        <v>1.07</v>
      </c>
      <c r="B20" s="3"/>
      <c r="C20" s="37"/>
      <c r="D20" s="56" t="s">
        <v>90</v>
      </c>
      <c r="E20" s="37" t="s">
        <v>95</v>
      </c>
      <c r="F20" s="64">
        <f>5*15000*0.15</f>
        <v>11250</v>
      </c>
      <c r="G20" s="57" t="s">
        <v>87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65">
        <v>12.57</v>
      </c>
      <c r="N20" s="13">
        <f t="shared" si="3"/>
        <v>141412.5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141412.5</v>
      </c>
      <c r="T20" s="38">
        <v>0.25</v>
      </c>
      <c r="U20" s="13">
        <f t="shared" si="7"/>
        <v>35353.125</v>
      </c>
      <c r="V20" s="13">
        <f t="shared" si="8"/>
        <v>176765.625</v>
      </c>
      <c r="W20" s="3"/>
      <c r="X20" s="3"/>
      <c r="Y20" s="3"/>
      <c r="AB20" s="43"/>
      <c r="AC20" s="84"/>
    </row>
    <row r="21" spans="1:29" s="4" customFormat="1" ht="22.5">
      <c r="A21" s="50">
        <v>1.08</v>
      </c>
      <c r="B21" s="3"/>
      <c r="C21" s="37"/>
      <c r="D21" s="56" t="s">
        <v>94</v>
      </c>
      <c r="E21" s="37" t="s">
        <v>92</v>
      </c>
      <c r="F21" s="64">
        <f>8*15000*0.1</f>
        <v>12000</v>
      </c>
      <c r="G21" s="57" t="s">
        <v>87</v>
      </c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62">
        <f>37.22+67.2+6.31+12.57</f>
        <v>123.30000000000001</v>
      </c>
      <c r="N21" s="13">
        <f t="shared" si="3"/>
        <v>1479600.0000000002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1479600.0000000002</v>
      </c>
      <c r="T21" s="38">
        <v>0.25</v>
      </c>
      <c r="U21" s="13">
        <f t="shared" si="7"/>
        <v>369900.00000000006</v>
      </c>
      <c r="V21" s="13">
        <f t="shared" si="8"/>
        <v>1849500.0000000002</v>
      </c>
      <c r="W21" s="3"/>
      <c r="X21" s="3"/>
      <c r="Y21" s="3"/>
      <c r="AB21" s="43"/>
      <c r="AC21" s="84"/>
    </row>
    <row r="22" spans="1:29" s="4" customFormat="1" ht="22.5">
      <c r="A22" s="50">
        <v>1.09</v>
      </c>
      <c r="B22" s="3"/>
      <c r="C22" s="37"/>
      <c r="D22" s="56" t="s">
        <v>123</v>
      </c>
      <c r="E22" s="37" t="s">
        <v>122</v>
      </c>
      <c r="F22" s="64">
        <v>1</v>
      </c>
      <c r="G22" s="57" t="s">
        <v>69</v>
      </c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65">
        <v>889246.4787999999</v>
      </c>
      <c r="N22" s="13">
        <f t="shared" si="3"/>
        <v>889246.4787999999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889246.4787999999</v>
      </c>
      <c r="T22" s="38">
        <v>0.25</v>
      </c>
      <c r="U22" s="13">
        <f t="shared" si="7"/>
        <v>222311.61969999998</v>
      </c>
      <c r="V22" s="13">
        <f t="shared" si="8"/>
        <v>1111558.0984999998</v>
      </c>
      <c r="W22" s="3"/>
      <c r="X22" s="3"/>
      <c r="Y22" s="3"/>
      <c r="AB22" s="43"/>
      <c r="AC22" s="84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0"/>
        <v>0</v>
      </c>
      <c r="J23" s="13">
        <f t="shared" si="1"/>
        <v>0</v>
      </c>
      <c r="K23" s="13"/>
      <c r="L23" s="13">
        <f t="shared" si="2"/>
        <v>0</v>
      </c>
      <c r="M23" s="13"/>
      <c r="N23" s="13">
        <f t="shared" si="3"/>
        <v>0</v>
      </c>
      <c r="O23" s="13"/>
      <c r="P23" s="13">
        <f t="shared" si="4"/>
        <v>0</v>
      </c>
      <c r="Q23" s="38"/>
      <c r="R23" s="13">
        <f t="shared" si="5"/>
        <v>0</v>
      </c>
      <c r="S23" s="13">
        <f t="shared" si="6"/>
        <v>0</v>
      </c>
      <c r="T23" s="38"/>
      <c r="U23" s="13">
        <f t="shared" si="7"/>
        <v>0</v>
      </c>
      <c r="V23" s="13">
        <f t="shared" si="8"/>
        <v>0</v>
      </c>
      <c r="W23" s="3"/>
      <c r="X23" s="3"/>
      <c r="Y23" s="3"/>
      <c r="AB23" s="43"/>
      <c r="AC23" s="84"/>
    </row>
    <row r="24" spans="1:29" s="4" customFormat="1" ht="11.25">
      <c r="A24" s="50">
        <v>1.11</v>
      </c>
      <c r="B24" s="3"/>
      <c r="C24" s="37"/>
      <c r="D24" s="59" t="s">
        <v>112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4"/>
    </row>
    <row r="25" spans="1:29" s="4" customFormat="1" ht="33.75">
      <c r="A25" s="50">
        <v>1.12</v>
      </c>
      <c r="B25" s="3"/>
      <c r="C25" s="37"/>
      <c r="D25" s="56" t="s">
        <v>128</v>
      </c>
      <c r="E25" s="37" t="s">
        <v>105</v>
      </c>
      <c r="F25" s="64">
        <v>25000</v>
      </c>
      <c r="G25" s="57" t="s">
        <v>87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5.22</v>
      </c>
      <c r="N25" s="13">
        <f t="shared" si="3"/>
        <v>130500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130500</v>
      </c>
      <c r="T25" s="38">
        <v>0.25</v>
      </c>
      <c r="U25" s="13">
        <f t="shared" si="7"/>
        <v>32625</v>
      </c>
      <c r="V25" s="13">
        <f t="shared" si="8"/>
        <v>163125</v>
      </c>
      <c r="W25" s="3"/>
      <c r="X25" s="3"/>
      <c r="Y25" s="3"/>
      <c r="AB25" s="43"/>
      <c r="AC25" s="84"/>
    </row>
    <row r="26" spans="1:29" s="4" customFormat="1" ht="11.25">
      <c r="A26" s="50">
        <v>1.13</v>
      </c>
      <c r="B26" s="3"/>
      <c r="C26" s="37"/>
      <c r="D26" s="56" t="s">
        <v>129</v>
      </c>
      <c r="E26" s="37" t="s">
        <v>111</v>
      </c>
      <c r="F26" s="64">
        <v>150000</v>
      </c>
      <c r="G26" s="57" t="s">
        <v>87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735000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735000</v>
      </c>
      <c r="T26" s="38">
        <v>0.25</v>
      </c>
      <c r="U26" s="13">
        <f t="shared" si="7"/>
        <v>183750</v>
      </c>
      <c r="V26" s="13">
        <f t="shared" si="8"/>
        <v>918750</v>
      </c>
      <c r="W26" s="3"/>
      <c r="X26" s="3"/>
      <c r="Y26" s="3"/>
      <c r="AB26" s="43"/>
      <c r="AC26" s="84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4"/>
    </row>
    <row r="28" spans="1:29" s="4" customFormat="1" ht="11.25">
      <c r="A28" s="50">
        <v>1.15</v>
      </c>
      <c r="B28" s="3"/>
      <c r="C28" s="37"/>
      <c r="D28" s="59" t="s">
        <v>125</v>
      </c>
      <c r="E28" s="37"/>
      <c r="F28" s="64"/>
      <c r="G28" s="57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0</v>
      </c>
      <c r="T28" s="38"/>
      <c r="U28" s="13">
        <f t="shared" si="7"/>
        <v>0</v>
      </c>
      <c r="V28" s="13">
        <f t="shared" si="8"/>
        <v>0</v>
      </c>
      <c r="W28" s="3"/>
      <c r="X28" s="3"/>
      <c r="Y28" s="3"/>
      <c r="AB28" s="43"/>
      <c r="AC28" s="84"/>
    </row>
    <row r="29" spans="1:29" s="4" customFormat="1" ht="22.5">
      <c r="A29" s="50">
        <v>1.16</v>
      </c>
      <c r="B29" s="3"/>
      <c r="C29" s="37"/>
      <c r="D29" s="56" t="s">
        <v>126</v>
      </c>
      <c r="E29" s="37" t="s">
        <v>92</v>
      </c>
      <c r="F29" s="64">
        <v>990</v>
      </c>
      <c r="G29" s="57" t="s">
        <v>87</v>
      </c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62">
        <f>37.22+67.2+39.93+12.57</f>
        <v>156.92</v>
      </c>
      <c r="N29" s="13">
        <f t="shared" si="3"/>
        <v>155350.8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155350.8</v>
      </c>
      <c r="T29" s="38">
        <v>0.25</v>
      </c>
      <c r="U29" s="13">
        <f t="shared" si="7"/>
        <v>38837.7</v>
      </c>
      <c r="V29" s="13">
        <f t="shared" si="8"/>
        <v>194188.5</v>
      </c>
      <c r="W29" s="3"/>
      <c r="X29" s="3"/>
      <c r="Y29" s="3"/>
      <c r="AB29" s="43"/>
      <c r="AC29" s="84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3"/>
      <c r="Y30" s="3"/>
      <c r="AB30" s="43"/>
      <c r="AC30" s="84"/>
    </row>
    <row r="31" spans="1:29" s="4" customFormat="1" ht="11.25">
      <c r="A31" s="50">
        <v>1.18</v>
      </c>
      <c r="B31" s="3"/>
      <c r="C31" s="37"/>
      <c r="D31" s="59" t="s">
        <v>113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4"/>
    </row>
    <row r="32" spans="1:29" s="4" customFormat="1" ht="22.5">
      <c r="A32" s="50">
        <v>1.19</v>
      </c>
      <c r="B32" s="3"/>
      <c r="C32" s="37"/>
      <c r="D32" s="56" t="s">
        <v>72</v>
      </c>
      <c r="E32" s="37" t="s">
        <v>67</v>
      </c>
      <c r="F32" s="64">
        <v>1250</v>
      </c>
      <c r="G32" s="57" t="s">
        <v>68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99800*8/F32</f>
        <v>638.72</v>
      </c>
      <c r="N32" s="13">
        <f t="shared" si="3"/>
        <v>798400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798400</v>
      </c>
      <c r="T32" s="38">
        <v>0.25</v>
      </c>
      <c r="U32" s="13">
        <f t="shared" si="7"/>
        <v>199600</v>
      </c>
      <c r="V32" s="13">
        <f t="shared" si="8"/>
        <v>998000</v>
      </c>
      <c r="W32" s="3"/>
      <c r="X32" s="3"/>
      <c r="Y32" s="3"/>
      <c r="AB32" s="43"/>
      <c r="AC32" s="84"/>
    </row>
    <row r="33" spans="1:29" s="4" customFormat="1" ht="45">
      <c r="A33" s="50">
        <v>1.2</v>
      </c>
      <c r="B33" s="3"/>
      <c r="C33" s="37"/>
      <c r="D33" s="56" t="s">
        <v>127</v>
      </c>
      <c r="E33" s="37" t="s">
        <v>98</v>
      </c>
      <c r="F33" s="64">
        <v>1850</v>
      </c>
      <c r="G33" s="57" t="s">
        <v>87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62">
        <f>10.04+65.68+35.79</f>
        <v>111.50999999999999</v>
      </c>
      <c r="N33" s="13">
        <f t="shared" si="3"/>
        <v>206293.49999999997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206293.49999999997</v>
      </c>
      <c r="T33" s="38">
        <v>0.25</v>
      </c>
      <c r="U33" s="13">
        <f t="shared" si="7"/>
        <v>51573.37499999999</v>
      </c>
      <c r="V33" s="13">
        <f t="shared" si="8"/>
        <v>257866.87499999997</v>
      </c>
      <c r="W33" s="3"/>
      <c r="X33" s="3"/>
      <c r="Y33" s="3"/>
      <c r="AB33" s="43"/>
      <c r="AC33" s="84"/>
    </row>
    <row r="34" spans="1:29" s="4" customFormat="1" ht="33.75">
      <c r="A34" s="50">
        <v>1.21</v>
      </c>
      <c r="B34" s="3"/>
      <c r="C34" s="37"/>
      <c r="D34" s="56" t="s">
        <v>114</v>
      </c>
      <c r="E34" s="37" t="s">
        <v>97</v>
      </c>
      <c r="F34" s="64">
        <v>1100</v>
      </c>
      <c r="G34" s="57" t="s">
        <v>87</v>
      </c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62">
        <f>10.04+65.68+35.79+10.17</f>
        <v>121.67999999999999</v>
      </c>
      <c r="N34" s="13">
        <f t="shared" si="3"/>
        <v>133848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133848</v>
      </c>
      <c r="T34" s="38">
        <v>0.25</v>
      </c>
      <c r="U34" s="13">
        <f t="shared" si="7"/>
        <v>33462</v>
      </c>
      <c r="V34" s="13">
        <f t="shared" si="8"/>
        <v>167310</v>
      </c>
      <c r="W34" s="3"/>
      <c r="X34" s="3"/>
      <c r="Y34" s="3"/>
      <c r="AB34" s="43"/>
      <c r="AC34" s="84"/>
    </row>
    <row r="35" spans="1:25" s="4" customFormat="1" ht="11.25">
      <c r="A35" s="50">
        <v>1.24</v>
      </c>
      <c r="B35" s="3"/>
      <c r="C35" s="37"/>
      <c r="D35" s="56" t="s">
        <v>169</v>
      </c>
      <c r="E35" s="37" t="s">
        <v>170</v>
      </c>
      <c r="F35" s="64">
        <v>5300</v>
      </c>
      <c r="G35" s="57" t="s">
        <v>171</v>
      </c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75">
        <v>3.62</v>
      </c>
      <c r="N35" s="13">
        <f t="shared" si="3"/>
        <v>19186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19186</v>
      </c>
      <c r="T35" s="38">
        <v>0.25</v>
      </c>
      <c r="U35" s="13">
        <f t="shared" si="7"/>
        <v>4796.5</v>
      </c>
      <c r="V35" s="13">
        <f t="shared" si="8"/>
        <v>23982.5</v>
      </c>
      <c r="W35" s="3"/>
      <c r="X35" s="58"/>
      <c r="Y35" s="3"/>
    </row>
    <row r="36" spans="1:29" s="4" customFormat="1" ht="11.25">
      <c r="A36" s="50">
        <v>1.22</v>
      </c>
      <c r="B36" s="3"/>
      <c r="C36" s="37"/>
      <c r="D36" s="56"/>
      <c r="E36" s="37"/>
      <c r="F36" s="64"/>
      <c r="G36" s="57"/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13"/>
      <c r="N36" s="13">
        <f t="shared" si="3"/>
        <v>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0</v>
      </c>
      <c r="T36" s="38"/>
      <c r="U36" s="13">
        <f t="shared" si="7"/>
        <v>0</v>
      </c>
      <c r="V36" s="13">
        <f t="shared" si="8"/>
        <v>0</v>
      </c>
      <c r="W36" s="3"/>
      <c r="X36" s="3"/>
      <c r="Y36" s="3"/>
      <c r="AB36" s="43"/>
      <c r="AC36" s="84"/>
    </row>
    <row r="37" spans="1:29" s="4" customFormat="1" ht="11.25">
      <c r="A37" s="50">
        <v>1.23</v>
      </c>
      <c r="B37" s="3"/>
      <c r="C37" s="37"/>
      <c r="D37" s="59" t="s">
        <v>115</v>
      </c>
      <c r="E37" s="37"/>
      <c r="F37" s="64"/>
      <c r="G37" s="57"/>
      <c r="H37" s="13"/>
      <c r="I37" s="13">
        <f t="shared" si="0"/>
        <v>0</v>
      </c>
      <c r="J37" s="13">
        <f t="shared" si="1"/>
        <v>0</v>
      </c>
      <c r="K37" s="13"/>
      <c r="L37" s="13">
        <f t="shared" si="2"/>
        <v>0</v>
      </c>
      <c r="M37" s="13"/>
      <c r="N37" s="13">
        <f t="shared" si="3"/>
        <v>0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0</v>
      </c>
      <c r="T37" s="38"/>
      <c r="U37" s="13">
        <f t="shared" si="7"/>
        <v>0</v>
      </c>
      <c r="V37" s="13">
        <f t="shared" si="8"/>
        <v>0</v>
      </c>
      <c r="W37" s="3"/>
      <c r="X37" s="3"/>
      <c r="Y37" s="3"/>
      <c r="AB37" s="43"/>
      <c r="AC37" s="84"/>
    </row>
    <row r="38" spans="1:29" s="4" customFormat="1" ht="11.25">
      <c r="A38" s="50">
        <v>1.24</v>
      </c>
      <c r="B38" s="3"/>
      <c r="C38" s="37"/>
      <c r="D38" s="56" t="s">
        <v>116</v>
      </c>
      <c r="E38" s="37" t="s">
        <v>120</v>
      </c>
      <c r="F38" s="64">
        <v>1</v>
      </c>
      <c r="G38" s="57" t="s">
        <v>68</v>
      </c>
      <c r="H38" s="13"/>
      <c r="I38" s="13">
        <f t="shared" si="0"/>
        <v>0</v>
      </c>
      <c r="J38" s="13">
        <f t="shared" si="1"/>
        <v>0</v>
      </c>
      <c r="K38" s="13"/>
      <c r="L38" s="13">
        <f t="shared" si="2"/>
        <v>0</v>
      </c>
      <c r="M38" s="62">
        <v>26000</v>
      </c>
      <c r="N38" s="13">
        <f t="shared" si="3"/>
        <v>26000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26000</v>
      </c>
      <c r="T38" s="38">
        <v>0.25</v>
      </c>
      <c r="U38" s="13">
        <f t="shared" si="7"/>
        <v>6500</v>
      </c>
      <c r="V38" s="13">
        <f t="shared" si="8"/>
        <v>32500</v>
      </c>
      <c r="W38" s="3"/>
      <c r="X38" s="3"/>
      <c r="Y38" s="3"/>
      <c r="AB38" s="43"/>
      <c r="AC38" s="84"/>
    </row>
    <row r="39" spans="1:29" s="4" customFormat="1" ht="22.5">
      <c r="A39" s="50">
        <v>1.25</v>
      </c>
      <c r="B39" s="3"/>
      <c r="C39" s="37"/>
      <c r="D39" s="56" t="s">
        <v>130</v>
      </c>
      <c r="E39" s="37" t="s">
        <v>117</v>
      </c>
      <c r="F39" s="64">
        <v>900</v>
      </c>
      <c r="G39" s="57" t="s">
        <v>118</v>
      </c>
      <c r="H39" s="65"/>
      <c r="I39" s="13">
        <f t="shared" si="0"/>
        <v>0</v>
      </c>
      <c r="J39" s="13">
        <f t="shared" si="1"/>
        <v>0</v>
      </c>
      <c r="K39" s="65"/>
      <c r="L39" s="13">
        <f t="shared" si="2"/>
        <v>0</v>
      </c>
      <c r="M39" s="65">
        <f>(7.31*100)+204.27+(4.48*4.38)+25.18</f>
        <v>980.0723999999999</v>
      </c>
      <c r="N39" s="13">
        <f t="shared" si="3"/>
        <v>882065.1599999999</v>
      </c>
      <c r="O39" s="13"/>
      <c r="P39" s="13">
        <f t="shared" si="4"/>
        <v>0</v>
      </c>
      <c r="Q39" s="38"/>
      <c r="R39" s="13">
        <f t="shared" si="5"/>
        <v>0</v>
      </c>
      <c r="S39" s="13">
        <f t="shared" si="6"/>
        <v>882065.1599999999</v>
      </c>
      <c r="T39" s="38">
        <v>0.25</v>
      </c>
      <c r="U39" s="13">
        <f t="shared" si="7"/>
        <v>220516.28999999998</v>
      </c>
      <c r="V39" s="13">
        <f t="shared" si="8"/>
        <v>1102581.45</v>
      </c>
      <c r="W39" s="3"/>
      <c r="X39" s="3"/>
      <c r="Y39" s="3"/>
      <c r="AB39" s="43"/>
      <c r="AC39" s="84"/>
    </row>
    <row r="40" spans="1:29" s="4" customFormat="1" ht="11.25">
      <c r="A40" s="50">
        <v>1.26</v>
      </c>
      <c r="B40" s="3"/>
      <c r="C40" s="37"/>
      <c r="D40" s="56"/>
      <c r="E40" s="37"/>
      <c r="F40" s="64"/>
      <c r="G40" s="57"/>
      <c r="H40" s="13"/>
      <c r="I40" s="13">
        <f t="shared" si="0"/>
        <v>0</v>
      </c>
      <c r="J40" s="13">
        <f t="shared" si="1"/>
        <v>0</v>
      </c>
      <c r="K40" s="13"/>
      <c r="L40" s="13">
        <f t="shared" si="2"/>
        <v>0</v>
      </c>
      <c r="M40" s="13"/>
      <c r="N40" s="13">
        <f t="shared" si="3"/>
        <v>0</v>
      </c>
      <c r="O40" s="13"/>
      <c r="P40" s="13">
        <f t="shared" si="4"/>
        <v>0</v>
      </c>
      <c r="Q40" s="38"/>
      <c r="R40" s="13">
        <f t="shared" si="5"/>
        <v>0</v>
      </c>
      <c r="S40" s="13">
        <f t="shared" si="6"/>
        <v>0</v>
      </c>
      <c r="T40" s="38"/>
      <c r="U40" s="13">
        <f t="shared" si="7"/>
        <v>0</v>
      </c>
      <c r="V40" s="13">
        <f t="shared" si="8"/>
        <v>0</v>
      </c>
      <c r="W40" s="3"/>
      <c r="X40" s="3"/>
      <c r="Y40" s="3"/>
      <c r="AB40" s="43"/>
      <c r="AC40" s="84"/>
    </row>
    <row r="41" spans="1:29" s="4" customFormat="1" ht="11.25">
      <c r="A41" s="50">
        <v>1.27</v>
      </c>
      <c r="B41" s="3"/>
      <c r="C41" s="37"/>
      <c r="D41" s="59" t="s">
        <v>74</v>
      </c>
      <c r="E41" s="37"/>
      <c r="F41" s="64"/>
      <c r="G41" s="57"/>
      <c r="H41" s="13"/>
      <c r="I41" s="13">
        <f aca="true" t="shared" si="9" ref="I41:I64">F41*H41</f>
        <v>0</v>
      </c>
      <c r="J41" s="13">
        <f t="shared" si="1"/>
        <v>0</v>
      </c>
      <c r="K41" s="13"/>
      <c r="L41" s="13">
        <f aca="true" t="shared" si="10" ref="L41:L64">F41*K41</f>
        <v>0</v>
      </c>
      <c r="M41" s="13"/>
      <c r="N41" s="13">
        <f aca="true" t="shared" si="11" ref="N41:N64">F41*M41</f>
        <v>0</v>
      </c>
      <c r="O41" s="13"/>
      <c r="P41" s="13">
        <f aca="true" t="shared" si="12" ref="P41:P64">F41*O41</f>
        <v>0</v>
      </c>
      <c r="Q41" s="38"/>
      <c r="R41" s="13">
        <f aca="true" t="shared" si="13" ref="R41:R64">(J41+L41+N41+P41)*Q41</f>
        <v>0</v>
      </c>
      <c r="S41" s="13">
        <f aca="true" t="shared" si="14" ref="S41:S64">J41+L41+N41+P41+R41</f>
        <v>0</v>
      </c>
      <c r="T41" s="38"/>
      <c r="U41" s="13">
        <f aca="true" t="shared" si="15" ref="U41:U64">S41*T41</f>
        <v>0</v>
      </c>
      <c r="V41" s="13">
        <f aca="true" t="shared" si="16" ref="V41:V64">S41+U41</f>
        <v>0</v>
      </c>
      <c r="W41" s="3"/>
      <c r="X41" s="3"/>
      <c r="Y41" s="3"/>
      <c r="AB41" s="43"/>
      <c r="AC41" s="84"/>
    </row>
    <row r="42" spans="1:29" s="4" customFormat="1" ht="11.25">
      <c r="A42" s="50">
        <v>1.28</v>
      </c>
      <c r="B42" s="3"/>
      <c r="C42" s="37"/>
      <c r="D42" s="56" t="s">
        <v>131</v>
      </c>
      <c r="E42" s="37" t="s">
        <v>141</v>
      </c>
      <c r="F42" s="64">
        <f>2*30.4</f>
        <v>60.8</v>
      </c>
      <c r="G42" s="57" t="s">
        <v>80</v>
      </c>
      <c r="H42" s="13"/>
      <c r="I42" s="13">
        <f t="shared" si="9"/>
        <v>0</v>
      </c>
      <c r="J42" s="13">
        <f aca="true" t="shared" si="17" ref="J42:J64">I42*$L$8</f>
        <v>0</v>
      </c>
      <c r="K42" s="13"/>
      <c r="L42" s="13">
        <f t="shared" si="10"/>
        <v>0</v>
      </c>
      <c r="M42" s="65">
        <f>2*150</f>
        <v>300</v>
      </c>
      <c r="N42" s="13">
        <f t="shared" si="11"/>
        <v>18240</v>
      </c>
      <c r="O42" s="13"/>
      <c r="P42" s="13">
        <f t="shared" si="12"/>
        <v>0</v>
      </c>
      <c r="Q42" s="38"/>
      <c r="R42" s="13">
        <f t="shared" si="13"/>
        <v>0</v>
      </c>
      <c r="S42" s="13">
        <f t="shared" si="14"/>
        <v>18240</v>
      </c>
      <c r="T42" s="38">
        <v>0.25</v>
      </c>
      <c r="U42" s="13">
        <f t="shared" si="15"/>
        <v>4560</v>
      </c>
      <c r="V42" s="13">
        <f t="shared" si="16"/>
        <v>22800</v>
      </c>
      <c r="W42" s="3"/>
      <c r="X42" s="3"/>
      <c r="Y42" s="3"/>
      <c r="AB42" s="43"/>
      <c r="AC42" s="84"/>
    </row>
    <row r="43" spans="1:29" s="4" customFormat="1" ht="11.25">
      <c r="A43" s="50">
        <v>1.29</v>
      </c>
      <c r="B43" s="3"/>
      <c r="C43" s="37"/>
      <c r="D43" s="56" t="s">
        <v>132</v>
      </c>
      <c r="E43" s="37" t="s">
        <v>141</v>
      </c>
      <c r="F43" s="64">
        <v>1</v>
      </c>
      <c r="G43" s="57" t="s">
        <v>69</v>
      </c>
      <c r="H43" s="13"/>
      <c r="I43" s="13">
        <f t="shared" si="9"/>
        <v>0</v>
      </c>
      <c r="J43" s="13">
        <f t="shared" si="17"/>
        <v>0</v>
      </c>
      <c r="K43" s="13"/>
      <c r="L43" s="13">
        <f t="shared" si="10"/>
        <v>0</v>
      </c>
      <c r="M43" s="65">
        <v>15000</v>
      </c>
      <c r="N43" s="13">
        <f t="shared" si="11"/>
        <v>15000</v>
      </c>
      <c r="O43" s="13"/>
      <c r="P43" s="13">
        <f t="shared" si="12"/>
        <v>0</v>
      </c>
      <c r="Q43" s="38"/>
      <c r="R43" s="13">
        <f t="shared" si="13"/>
        <v>0</v>
      </c>
      <c r="S43" s="13">
        <f t="shared" si="14"/>
        <v>15000</v>
      </c>
      <c r="T43" s="38">
        <v>0.25</v>
      </c>
      <c r="U43" s="13">
        <f t="shared" si="15"/>
        <v>3750</v>
      </c>
      <c r="V43" s="13">
        <f t="shared" si="16"/>
        <v>18750</v>
      </c>
      <c r="W43" s="3"/>
      <c r="X43" s="3"/>
      <c r="Y43" s="3"/>
      <c r="AB43" s="43"/>
      <c r="AC43" s="84"/>
    </row>
    <row r="44" spans="1:29" s="4" customFormat="1" ht="11.25">
      <c r="A44" s="50">
        <v>1.3</v>
      </c>
      <c r="B44" s="3"/>
      <c r="C44" s="37"/>
      <c r="D44" s="56" t="s">
        <v>133</v>
      </c>
      <c r="E44" s="37" t="s">
        <v>141</v>
      </c>
      <c r="F44" s="64">
        <v>2</v>
      </c>
      <c r="G44" s="57" t="s">
        <v>78</v>
      </c>
      <c r="H44" s="13"/>
      <c r="I44" s="13">
        <f t="shared" si="9"/>
        <v>0</v>
      </c>
      <c r="J44" s="13">
        <f t="shared" si="17"/>
        <v>0</v>
      </c>
      <c r="K44" s="13"/>
      <c r="L44" s="13">
        <f t="shared" si="10"/>
        <v>0</v>
      </c>
      <c r="M44" s="65">
        <v>2000</v>
      </c>
      <c r="N44" s="13">
        <f t="shared" si="11"/>
        <v>4000</v>
      </c>
      <c r="O44" s="13"/>
      <c r="P44" s="13">
        <f t="shared" si="12"/>
        <v>0</v>
      </c>
      <c r="Q44" s="38"/>
      <c r="R44" s="13">
        <f t="shared" si="13"/>
        <v>0</v>
      </c>
      <c r="S44" s="13">
        <f t="shared" si="14"/>
        <v>4000</v>
      </c>
      <c r="T44" s="38">
        <v>0.25</v>
      </c>
      <c r="U44" s="13">
        <f t="shared" si="15"/>
        <v>1000</v>
      </c>
      <c r="V44" s="13">
        <f t="shared" si="16"/>
        <v>5000</v>
      </c>
      <c r="W44" s="3"/>
      <c r="X44" s="3"/>
      <c r="Y44" s="3"/>
      <c r="AB44" s="43"/>
      <c r="AC44" s="84"/>
    </row>
    <row r="45" spans="1:29" s="4" customFormat="1" ht="11.25">
      <c r="A45" s="50">
        <v>1.31</v>
      </c>
      <c r="B45" s="3"/>
      <c r="C45" s="37"/>
      <c r="D45" s="56" t="s">
        <v>139</v>
      </c>
      <c r="E45" s="37" t="s">
        <v>100</v>
      </c>
      <c r="F45" s="64">
        <f>F44</f>
        <v>2</v>
      </c>
      <c r="G45" s="57" t="s">
        <v>78</v>
      </c>
      <c r="H45" s="13"/>
      <c r="I45" s="13">
        <f t="shared" si="9"/>
        <v>0</v>
      </c>
      <c r="J45" s="13">
        <f t="shared" si="17"/>
        <v>0</v>
      </c>
      <c r="K45" s="13"/>
      <c r="L45" s="13">
        <f t="shared" si="10"/>
        <v>0</v>
      </c>
      <c r="M45" s="65">
        <v>5000</v>
      </c>
      <c r="N45" s="13">
        <f t="shared" si="11"/>
        <v>10000</v>
      </c>
      <c r="O45" s="13"/>
      <c r="P45" s="13">
        <f t="shared" si="12"/>
        <v>0</v>
      </c>
      <c r="Q45" s="38"/>
      <c r="R45" s="13">
        <f t="shared" si="13"/>
        <v>0</v>
      </c>
      <c r="S45" s="13">
        <f t="shared" si="14"/>
        <v>10000</v>
      </c>
      <c r="T45" s="38">
        <v>0.25</v>
      </c>
      <c r="U45" s="13">
        <f t="shared" si="15"/>
        <v>2500</v>
      </c>
      <c r="V45" s="13">
        <f t="shared" si="16"/>
        <v>12500</v>
      </c>
      <c r="W45" s="3"/>
      <c r="X45" s="3"/>
      <c r="Y45" s="3"/>
      <c r="AB45" s="43"/>
      <c r="AC45" s="84"/>
    </row>
    <row r="46" spans="1:29" s="4" customFormat="1" ht="11.25">
      <c r="A46" s="50">
        <v>1.32</v>
      </c>
      <c r="B46" s="3"/>
      <c r="C46" s="37"/>
      <c r="D46" s="56" t="s">
        <v>134</v>
      </c>
      <c r="E46" s="37" t="s">
        <v>99</v>
      </c>
      <c r="F46" s="64">
        <f>F42</f>
        <v>60.8</v>
      </c>
      <c r="G46" s="57" t="s">
        <v>80</v>
      </c>
      <c r="H46" s="13"/>
      <c r="I46" s="13">
        <f t="shared" si="9"/>
        <v>0</v>
      </c>
      <c r="J46" s="13">
        <f t="shared" si="17"/>
        <v>0</v>
      </c>
      <c r="K46" s="13"/>
      <c r="L46" s="13">
        <f t="shared" si="10"/>
        <v>0</v>
      </c>
      <c r="M46" s="65">
        <f>6*150</f>
        <v>900</v>
      </c>
      <c r="N46" s="13">
        <f t="shared" si="11"/>
        <v>54720</v>
      </c>
      <c r="O46" s="13"/>
      <c r="P46" s="13">
        <f t="shared" si="12"/>
        <v>0</v>
      </c>
      <c r="Q46" s="38"/>
      <c r="R46" s="13">
        <f t="shared" si="13"/>
        <v>0</v>
      </c>
      <c r="S46" s="13">
        <f t="shared" si="14"/>
        <v>54720</v>
      </c>
      <c r="T46" s="38">
        <v>0.25</v>
      </c>
      <c r="U46" s="13">
        <f t="shared" si="15"/>
        <v>13680</v>
      </c>
      <c r="V46" s="13">
        <f t="shared" si="16"/>
        <v>68400</v>
      </c>
      <c r="W46" s="3"/>
      <c r="X46" s="3"/>
      <c r="Y46" s="3"/>
      <c r="AB46" s="43"/>
      <c r="AC46" s="84"/>
    </row>
    <row r="47" spans="1:29" s="4" customFormat="1" ht="11.25">
      <c r="A47" s="50">
        <v>1.33</v>
      </c>
      <c r="B47" s="3"/>
      <c r="C47" s="37"/>
      <c r="D47" s="56" t="s">
        <v>135</v>
      </c>
      <c r="E47" s="37" t="s">
        <v>99</v>
      </c>
      <c r="F47" s="64">
        <f>F44</f>
        <v>2</v>
      </c>
      <c r="G47" s="57" t="s">
        <v>78</v>
      </c>
      <c r="H47" s="13"/>
      <c r="I47" s="13">
        <f>F47*H47</f>
        <v>0</v>
      </c>
      <c r="J47" s="13">
        <f>I47*$L$8</f>
        <v>0</v>
      </c>
      <c r="K47" s="13"/>
      <c r="L47" s="13">
        <f>F47*K47</f>
        <v>0</v>
      </c>
      <c r="M47" s="65">
        <f>6*3740</f>
        <v>22440</v>
      </c>
      <c r="N47" s="13">
        <f>F47*M47</f>
        <v>44880</v>
      </c>
      <c r="O47" s="13"/>
      <c r="P47" s="13">
        <f>F47*O47</f>
        <v>0</v>
      </c>
      <c r="Q47" s="38"/>
      <c r="R47" s="13">
        <f>(J47+L47+N47+P47)*Q47</f>
        <v>0</v>
      </c>
      <c r="S47" s="13">
        <f>J47+L47+N47+P47+R47</f>
        <v>44880</v>
      </c>
      <c r="T47" s="38">
        <v>0.25</v>
      </c>
      <c r="U47" s="13">
        <f>S47*T47</f>
        <v>11220</v>
      </c>
      <c r="V47" s="13">
        <f>S47+U47</f>
        <v>56100</v>
      </c>
      <c r="W47" s="3"/>
      <c r="X47" s="3"/>
      <c r="Y47" s="3"/>
      <c r="AB47" s="43"/>
      <c r="AC47" s="84"/>
    </row>
    <row r="48" spans="1:29" s="4" customFormat="1" ht="11.25">
      <c r="A48" s="50">
        <v>1.34</v>
      </c>
      <c r="B48" s="3"/>
      <c r="C48" s="37"/>
      <c r="D48" s="56" t="s">
        <v>79</v>
      </c>
      <c r="E48" s="37" t="s">
        <v>99</v>
      </c>
      <c r="F48" s="64">
        <f>F44</f>
        <v>2</v>
      </c>
      <c r="G48" s="57" t="s">
        <v>78</v>
      </c>
      <c r="H48" s="13"/>
      <c r="I48" s="13">
        <f>F48*H48</f>
        <v>0</v>
      </c>
      <c r="J48" s="13">
        <f>I48*$L$8</f>
        <v>0</v>
      </c>
      <c r="K48" s="13"/>
      <c r="L48" s="13">
        <f>F48*K48</f>
        <v>0</v>
      </c>
      <c r="M48" s="65">
        <f>6*1320</f>
        <v>7920</v>
      </c>
      <c r="N48" s="13">
        <f>F48*M48</f>
        <v>15840</v>
      </c>
      <c r="O48" s="13"/>
      <c r="P48" s="13">
        <f>F48*O48</f>
        <v>0</v>
      </c>
      <c r="Q48" s="38"/>
      <c r="R48" s="13">
        <f>(J48+L48+N48+P48)*Q48</f>
        <v>0</v>
      </c>
      <c r="S48" s="13">
        <f>J48+L48+N48+P48+R48</f>
        <v>15840</v>
      </c>
      <c r="T48" s="38">
        <v>0.25</v>
      </c>
      <c r="U48" s="13">
        <f>S48*T48</f>
        <v>3960</v>
      </c>
      <c r="V48" s="13">
        <f>S48+U48</f>
        <v>19800</v>
      </c>
      <c r="W48" s="3"/>
      <c r="X48" s="3"/>
      <c r="Y48" s="3"/>
      <c r="AB48" s="43"/>
      <c r="AC48" s="84"/>
    </row>
    <row r="49" spans="1:29" s="4" customFormat="1" ht="11.25">
      <c r="A49" s="50">
        <v>1.35</v>
      </c>
      <c r="B49" s="3"/>
      <c r="C49" s="37"/>
      <c r="D49" s="56"/>
      <c r="E49" s="37"/>
      <c r="F49" s="64"/>
      <c r="G49" s="57"/>
      <c r="H49" s="13"/>
      <c r="I49" s="13">
        <f t="shared" si="9"/>
        <v>0</v>
      </c>
      <c r="J49" s="13">
        <f t="shared" si="17"/>
        <v>0</v>
      </c>
      <c r="K49" s="13"/>
      <c r="L49" s="13">
        <f t="shared" si="10"/>
        <v>0</v>
      </c>
      <c r="M49" s="13"/>
      <c r="N49" s="13">
        <f t="shared" si="11"/>
        <v>0</v>
      </c>
      <c r="O49" s="13"/>
      <c r="P49" s="13">
        <f t="shared" si="12"/>
        <v>0</v>
      </c>
      <c r="Q49" s="38"/>
      <c r="R49" s="13">
        <f t="shared" si="13"/>
        <v>0</v>
      </c>
      <c r="S49" s="13">
        <f t="shared" si="14"/>
        <v>0</v>
      </c>
      <c r="T49" s="38"/>
      <c r="U49" s="13">
        <f t="shared" si="15"/>
        <v>0</v>
      </c>
      <c r="V49" s="13">
        <f t="shared" si="16"/>
        <v>0</v>
      </c>
      <c r="W49" s="3"/>
      <c r="X49" s="3"/>
      <c r="Y49" s="3"/>
      <c r="AB49" s="43"/>
      <c r="AC49" s="84"/>
    </row>
    <row r="50" spans="1:29" s="4" customFormat="1" ht="33.75">
      <c r="A50" s="50">
        <v>1.36</v>
      </c>
      <c r="B50" s="3"/>
      <c r="C50" s="37"/>
      <c r="D50" s="59" t="s">
        <v>75</v>
      </c>
      <c r="E50" s="37" t="s">
        <v>140</v>
      </c>
      <c r="F50" s="64"/>
      <c r="G50" s="57"/>
      <c r="H50" s="13"/>
      <c r="I50" s="13">
        <f t="shared" si="9"/>
        <v>0</v>
      </c>
      <c r="J50" s="13">
        <f t="shared" si="17"/>
        <v>0</v>
      </c>
      <c r="K50" s="13"/>
      <c r="L50" s="13">
        <f t="shared" si="10"/>
        <v>0</v>
      </c>
      <c r="M50" s="13"/>
      <c r="N50" s="13">
        <f t="shared" si="11"/>
        <v>0</v>
      </c>
      <c r="O50" s="13"/>
      <c r="P50" s="13">
        <f t="shared" si="12"/>
        <v>0</v>
      </c>
      <c r="Q50" s="38"/>
      <c r="R50" s="13">
        <f t="shared" si="13"/>
        <v>0</v>
      </c>
      <c r="S50" s="13">
        <f t="shared" si="14"/>
        <v>0</v>
      </c>
      <c r="T50" s="38"/>
      <c r="U50" s="13">
        <f t="shared" si="15"/>
        <v>0</v>
      </c>
      <c r="V50" s="13">
        <f t="shared" si="16"/>
        <v>0</v>
      </c>
      <c r="W50" s="3"/>
      <c r="X50" s="3"/>
      <c r="Y50" s="3"/>
      <c r="AB50" s="43"/>
      <c r="AC50" s="84"/>
    </row>
    <row r="51" spans="1:29" s="4" customFormat="1" ht="11.25">
      <c r="A51" s="50">
        <v>1.37</v>
      </c>
      <c r="B51" s="3"/>
      <c r="C51" s="37"/>
      <c r="D51" s="56" t="s">
        <v>136</v>
      </c>
      <c r="E51" s="37" t="s">
        <v>103</v>
      </c>
      <c r="F51" s="64">
        <f>2*30.4</f>
        <v>60.8</v>
      </c>
      <c r="G51" s="57" t="s">
        <v>80</v>
      </c>
      <c r="H51" s="13"/>
      <c r="I51" s="13">
        <f t="shared" si="9"/>
        <v>0</v>
      </c>
      <c r="J51" s="13">
        <f t="shared" si="17"/>
        <v>0</v>
      </c>
      <c r="K51" s="13"/>
      <c r="L51" s="13">
        <f t="shared" si="10"/>
        <v>0</v>
      </c>
      <c r="M51" s="65">
        <f>24*110</f>
        <v>2640</v>
      </c>
      <c r="N51" s="13">
        <f t="shared" si="11"/>
        <v>160512</v>
      </c>
      <c r="O51" s="13"/>
      <c r="P51" s="13">
        <f t="shared" si="12"/>
        <v>0</v>
      </c>
      <c r="Q51" s="38"/>
      <c r="R51" s="13">
        <f t="shared" si="13"/>
        <v>0</v>
      </c>
      <c r="S51" s="13">
        <f t="shared" si="14"/>
        <v>160512</v>
      </c>
      <c r="T51" s="38">
        <v>0.25</v>
      </c>
      <c r="U51" s="13">
        <f t="shared" si="15"/>
        <v>40128</v>
      </c>
      <c r="V51" s="13">
        <f t="shared" si="16"/>
        <v>200640</v>
      </c>
      <c r="W51" s="3"/>
      <c r="X51" s="3"/>
      <c r="Y51" s="3"/>
      <c r="AB51" s="43"/>
      <c r="AC51" s="84"/>
    </row>
    <row r="52" spans="1:29" s="4" customFormat="1" ht="11.25">
      <c r="A52" s="50">
        <v>1.38</v>
      </c>
      <c r="B52" s="3"/>
      <c r="C52" s="37"/>
      <c r="D52" s="56" t="s">
        <v>77</v>
      </c>
      <c r="E52" s="37" t="s">
        <v>103</v>
      </c>
      <c r="F52" s="64">
        <f>F51</f>
        <v>60.8</v>
      </c>
      <c r="G52" s="57" t="s">
        <v>80</v>
      </c>
      <c r="H52" s="13"/>
      <c r="I52" s="13">
        <f t="shared" si="9"/>
        <v>0</v>
      </c>
      <c r="J52" s="13">
        <f t="shared" si="17"/>
        <v>0</v>
      </c>
      <c r="K52" s="13"/>
      <c r="L52" s="13">
        <f t="shared" si="10"/>
        <v>0</v>
      </c>
      <c r="M52" s="65">
        <f>24*110</f>
        <v>2640</v>
      </c>
      <c r="N52" s="13">
        <f t="shared" si="11"/>
        <v>160512</v>
      </c>
      <c r="O52" s="13"/>
      <c r="P52" s="13">
        <f t="shared" si="12"/>
        <v>0</v>
      </c>
      <c r="Q52" s="38"/>
      <c r="R52" s="13">
        <f t="shared" si="13"/>
        <v>0</v>
      </c>
      <c r="S52" s="13">
        <f t="shared" si="14"/>
        <v>160512</v>
      </c>
      <c r="T52" s="38">
        <v>0.25</v>
      </c>
      <c r="U52" s="13">
        <f t="shared" si="15"/>
        <v>40128</v>
      </c>
      <c r="V52" s="13">
        <f t="shared" si="16"/>
        <v>200640</v>
      </c>
      <c r="W52" s="3"/>
      <c r="X52" s="3"/>
      <c r="Y52" s="3"/>
      <c r="AB52" s="43"/>
      <c r="AC52" s="84"/>
    </row>
    <row r="53" spans="1:29" s="4" customFormat="1" ht="11.25">
      <c r="A53" s="50">
        <v>1.39</v>
      </c>
      <c r="B53" s="3"/>
      <c r="C53" s="37"/>
      <c r="D53" s="56" t="s">
        <v>76</v>
      </c>
      <c r="E53" s="37" t="s">
        <v>102</v>
      </c>
      <c r="F53" s="74">
        <f>F51*2</f>
        <v>121.6</v>
      </c>
      <c r="G53" s="57" t="s">
        <v>80</v>
      </c>
      <c r="H53" s="13"/>
      <c r="I53" s="13">
        <f t="shared" si="9"/>
        <v>0</v>
      </c>
      <c r="J53" s="13">
        <f t="shared" si="17"/>
        <v>0</v>
      </c>
      <c r="K53" s="13"/>
      <c r="L53" s="13">
        <f t="shared" si="10"/>
        <v>0</v>
      </c>
      <c r="M53" s="65">
        <f>24*75</f>
        <v>1800</v>
      </c>
      <c r="N53" s="13">
        <f t="shared" si="11"/>
        <v>218880</v>
      </c>
      <c r="O53" s="13"/>
      <c r="P53" s="13">
        <f t="shared" si="12"/>
        <v>0</v>
      </c>
      <c r="Q53" s="38"/>
      <c r="R53" s="13">
        <f t="shared" si="13"/>
        <v>0</v>
      </c>
      <c r="S53" s="13">
        <f t="shared" si="14"/>
        <v>218880</v>
      </c>
      <c r="T53" s="38">
        <v>0.25</v>
      </c>
      <c r="U53" s="13">
        <f t="shared" si="15"/>
        <v>54720</v>
      </c>
      <c r="V53" s="13">
        <f t="shared" si="16"/>
        <v>273600</v>
      </c>
      <c r="W53" s="3"/>
      <c r="X53" s="3"/>
      <c r="Y53" s="3"/>
      <c r="AB53" s="43"/>
      <c r="AC53" s="84"/>
    </row>
    <row r="54" spans="1:29" s="4" customFormat="1" ht="11.25">
      <c r="A54" s="50">
        <v>1.4</v>
      </c>
      <c r="B54" s="3"/>
      <c r="C54" s="37"/>
      <c r="D54" s="56"/>
      <c r="E54" s="37"/>
      <c r="F54" s="64"/>
      <c r="G54" s="57"/>
      <c r="H54" s="13"/>
      <c r="I54" s="13">
        <f t="shared" si="9"/>
        <v>0</v>
      </c>
      <c r="J54" s="13">
        <f t="shared" si="17"/>
        <v>0</v>
      </c>
      <c r="K54" s="13"/>
      <c r="L54" s="13">
        <f t="shared" si="10"/>
        <v>0</v>
      </c>
      <c r="M54" s="13"/>
      <c r="N54" s="13">
        <f t="shared" si="11"/>
        <v>0</v>
      </c>
      <c r="O54" s="13"/>
      <c r="P54" s="13">
        <f t="shared" si="12"/>
        <v>0</v>
      </c>
      <c r="Q54" s="38"/>
      <c r="R54" s="13">
        <f t="shared" si="13"/>
        <v>0</v>
      </c>
      <c r="S54" s="13">
        <f t="shared" si="14"/>
        <v>0</v>
      </c>
      <c r="T54" s="38"/>
      <c r="U54" s="13">
        <f t="shared" si="15"/>
        <v>0</v>
      </c>
      <c r="V54" s="13">
        <f t="shared" si="16"/>
        <v>0</v>
      </c>
      <c r="W54" s="3"/>
      <c r="X54" s="3"/>
      <c r="Y54" s="3"/>
      <c r="AB54" s="43"/>
      <c r="AC54" s="84"/>
    </row>
    <row r="55" spans="1:29" s="4" customFormat="1" ht="11.25">
      <c r="A55" s="50">
        <v>1.37</v>
      </c>
      <c r="B55" s="3"/>
      <c r="C55" s="37"/>
      <c r="D55" s="59" t="s">
        <v>143</v>
      </c>
      <c r="E55" s="37"/>
      <c r="F55" s="64"/>
      <c r="G55" s="57"/>
      <c r="H55" s="13"/>
      <c r="I55" s="13">
        <f t="shared" si="9"/>
        <v>0</v>
      </c>
      <c r="J55" s="13">
        <f t="shared" si="17"/>
        <v>0</v>
      </c>
      <c r="K55" s="13"/>
      <c r="L55" s="13">
        <f t="shared" si="10"/>
        <v>0</v>
      </c>
      <c r="M55" s="75"/>
      <c r="N55" s="13">
        <f t="shared" si="11"/>
        <v>0</v>
      </c>
      <c r="O55" s="13"/>
      <c r="P55" s="13">
        <f t="shared" si="12"/>
        <v>0</v>
      </c>
      <c r="Q55" s="38"/>
      <c r="R55" s="13">
        <f t="shared" si="13"/>
        <v>0</v>
      </c>
      <c r="S55" s="13">
        <f t="shared" si="14"/>
        <v>0</v>
      </c>
      <c r="T55" s="38"/>
      <c r="U55" s="13">
        <f t="shared" si="15"/>
        <v>0</v>
      </c>
      <c r="V55" s="13">
        <f t="shared" si="16"/>
        <v>0</v>
      </c>
      <c r="W55" s="3"/>
      <c r="X55" s="3"/>
      <c r="Y55" s="3"/>
      <c r="AB55" s="43"/>
      <c r="AC55" s="84"/>
    </row>
    <row r="56" spans="1:29" s="4" customFormat="1" ht="56.25">
      <c r="A56" s="50">
        <v>1.38</v>
      </c>
      <c r="B56" s="3"/>
      <c r="C56" s="37"/>
      <c r="D56" s="56" t="s">
        <v>144</v>
      </c>
      <c r="E56" s="37" t="s">
        <v>145</v>
      </c>
      <c r="F56" s="64">
        <v>1</v>
      </c>
      <c r="G56" s="57" t="s">
        <v>68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f>385000+(271*900)+(4*19712)+(12.6*F42*1.6)+(1*F42*4*100)</f>
        <v>733293.728</v>
      </c>
      <c r="N56" s="13">
        <f>F56*M56</f>
        <v>733293.728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733293.728</v>
      </c>
      <c r="T56" s="38">
        <v>0.25</v>
      </c>
      <c r="U56" s="13">
        <f>S56*T56</f>
        <v>183323.432</v>
      </c>
      <c r="V56" s="13">
        <f>S56+U56</f>
        <v>916617.16</v>
      </c>
      <c r="W56" s="3"/>
      <c r="X56" s="3"/>
      <c r="Y56" s="3"/>
      <c r="AB56" s="43"/>
      <c r="AC56" s="84"/>
    </row>
    <row r="57" spans="1:29" s="4" customFormat="1" ht="11.25">
      <c r="A57" s="50">
        <v>1.39</v>
      </c>
      <c r="B57" s="3"/>
      <c r="C57" s="37"/>
      <c r="D57" s="56" t="s">
        <v>146</v>
      </c>
      <c r="E57" s="37"/>
      <c r="F57" s="64">
        <v>1</v>
      </c>
      <c r="G57" s="57" t="s">
        <v>69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5">
        <f>1000*F15</f>
        <v>15000</v>
      </c>
      <c r="N57" s="13">
        <f>F57*M57</f>
        <v>15000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15000</v>
      </c>
      <c r="T57" s="38">
        <v>0.25</v>
      </c>
      <c r="U57" s="13">
        <f>S57*T57</f>
        <v>3750</v>
      </c>
      <c r="V57" s="13">
        <f>S57+U57</f>
        <v>18750</v>
      </c>
      <c r="W57" s="3"/>
      <c r="X57" s="3"/>
      <c r="Y57" s="3"/>
      <c r="AB57" s="43"/>
      <c r="AC57" s="84"/>
    </row>
    <row r="58" spans="1:29" s="4" customFormat="1" ht="11.25">
      <c r="A58" s="50">
        <v>1.4</v>
      </c>
      <c r="B58" s="3"/>
      <c r="C58" s="37"/>
      <c r="D58" s="56" t="s">
        <v>147</v>
      </c>
      <c r="E58" s="37"/>
      <c r="F58" s="64">
        <v>50</v>
      </c>
      <c r="G58" s="57" t="s">
        <v>68</v>
      </c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75">
        <v>500</v>
      </c>
      <c r="N58" s="13">
        <f>F58*M58</f>
        <v>25000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25000</v>
      </c>
      <c r="T58" s="38">
        <v>0.25</v>
      </c>
      <c r="U58" s="13">
        <f>S58*T58</f>
        <v>6250</v>
      </c>
      <c r="V58" s="13">
        <f>S58+U58</f>
        <v>31250</v>
      </c>
      <c r="W58" s="3"/>
      <c r="X58" s="3"/>
      <c r="Y58" s="3"/>
      <c r="AB58" s="43"/>
      <c r="AC58" s="84"/>
    </row>
    <row r="59" spans="1:29" s="4" customFormat="1" ht="11.25">
      <c r="A59" s="50">
        <v>1.41</v>
      </c>
      <c r="B59" s="3"/>
      <c r="C59" s="37"/>
      <c r="D59" s="56"/>
      <c r="E59" s="37"/>
      <c r="F59" s="64"/>
      <c r="G59" s="57"/>
      <c r="H59" s="13"/>
      <c r="I59" s="13">
        <f t="shared" si="9"/>
        <v>0</v>
      </c>
      <c r="J59" s="13">
        <f t="shared" si="17"/>
        <v>0</v>
      </c>
      <c r="K59" s="13"/>
      <c r="L59" s="13">
        <f t="shared" si="10"/>
        <v>0</v>
      </c>
      <c r="M59" s="75"/>
      <c r="N59" s="13">
        <f t="shared" si="11"/>
        <v>0</v>
      </c>
      <c r="O59" s="13"/>
      <c r="P59" s="13">
        <f t="shared" si="12"/>
        <v>0</v>
      </c>
      <c r="Q59" s="38"/>
      <c r="R59" s="13">
        <f t="shared" si="13"/>
        <v>0</v>
      </c>
      <c r="S59" s="13">
        <f t="shared" si="14"/>
        <v>0</v>
      </c>
      <c r="T59" s="38"/>
      <c r="U59" s="13">
        <f t="shared" si="15"/>
        <v>0</v>
      </c>
      <c r="V59" s="13">
        <f t="shared" si="16"/>
        <v>0</v>
      </c>
      <c r="W59" s="3"/>
      <c r="X59" s="3"/>
      <c r="Y59" s="3"/>
      <c r="AB59" s="43"/>
      <c r="AC59" s="84"/>
    </row>
    <row r="60" spans="1:29" s="4" customFormat="1" ht="33.75">
      <c r="A60" s="50">
        <v>1.41</v>
      </c>
      <c r="B60" s="3"/>
      <c r="C60" s="37"/>
      <c r="D60" s="59" t="s">
        <v>82</v>
      </c>
      <c r="E60" s="37" t="s">
        <v>81</v>
      </c>
      <c r="F60" s="64"/>
      <c r="G60" s="57"/>
      <c r="H60" s="13"/>
      <c r="I60" s="13">
        <f t="shared" si="9"/>
        <v>0</v>
      </c>
      <c r="J60" s="13">
        <f t="shared" si="17"/>
        <v>0</v>
      </c>
      <c r="K60" s="13"/>
      <c r="L60" s="13">
        <f t="shared" si="10"/>
        <v>0</v>
      </c>
      <c r="M60" s="13"/>
      <c r="N60" s="13">
        <f t="shared" si="11"/>
        <v>0</v>
      </c>
      <c r="O60" s="13"/>
      <c r="P60" s="13">
        <f t="shared" si="12"/>
        <v>0</v>
      </c>
      <c r="Q60" s="38"/>
      <c r="R60" s="13">
        <f t="shared" si="13"/>
        <v>0</v>
      </c>
      <c r="S60" s="13">
        <f t="shared" si="14"/>
        <v>0</v>
      </c>
      <c r="T60" s="38"/>
      <c r="U60" s="13">
        <f t="shared" si="15"/>
        <v>0</v>
      </c>
      <c r="V60" s="13">
        <f t="shared" si="16"/>
        <v>0</v>
      </c>
      <c r="W60" s="3"/>
      <c r="X60" s="3"/>
      <c r="Y60" s="3"/>
      <c r="AB60" s="43"/>
      <c r="AC60" s="84"/>
    </row>
    <row r="61" spans="1:29" s="4" customFormat="1" ht="11.25">
      <c r="A61" s="50">
        <v>1.42</v>
      </c>
      <c r="B61" s="3"/>
      <c r="C61" s="37"/>
      <c r="D61" s="56" t="s">
        <v>137</v>
      </c>
      <c r="E61" s="37" t="s">
        <v>83</v>
      </c>
      <c r="F61" s="74">
        <f>ROUNDUP(F62/27000,0)</f>
        <v>13</v>
      </c>
      <c r="G61" s="57" t="s">
        <v>124</v>
      </c>
      <c r="H61" s="13"/>
      <c r="I61" s="13">
        <f t="shared" si="9"/>
        <v>0</v>
      </c>
      <c r="J61" s="13">
        <f t="shared" si="17"/>
        <v>0</v>
      </c>
      <c r="K61" s="13"/>
      <c r="L61" s="13">
        <f t="shared" si="10"/>
        <v>0</v>
      </c>
      <c r="M61" s="65">
        <f>(71.4+100)*4</f>
        <v>685.6</v>
      </c>
      <c r="N61" s="13">
        <f t="shared" si="11"/>
        <v>8912.800000000001</v>
      </c>
      <c r="O61" s="13"/>
      <c r="P61" s="13">
        <f t="shared" si="12"/>
        <v>0</v>
      </c>
      <c r="Q61" s="38"/>
      <c r="R61" s="13">
        <f t="shared" si="13"/>
        <v>0</v>
      </c>
      <c r="S61" s="13">
        <f t="shared" si="14"/>
        <v>8912.800000000001</v>
      </c>
      <c r="T61" s="38">
        <v>0.25</v>
      </c>
      <c r="U61" s="13">
        <f t="shared" si="15"/>
        <v>2228.2000000000003</v>
      </c>
      <c r="V61" s="13">
        <f t="shared" si="16"/>
        <v>11141.000000000002</v>
      </c>
      <c r="W61" s="58"/>
      <c r="X61" s="3"/>
      <c r="Y61" s="3"/>
      <c r="AB61" s="43"/>
      <c r="AC61" s="84"/>
    </row>
    <row r="62" spans="1:29" s="4" customFormat="1" ht="11.25">
      <c r="A62" s="50">
        <v>1.43</v>
      </c>
      <c r="B62" s="3"/>
      <c r="C62" s="37"/>
      <c r="D62" s="67"/>
      <c r="E62" s="4" t="s">
        <v>109</v>
      </c>
      <c r="F62" s="63">
        <f>7500+134400+9600+177527</f>
        <v>329027</v>
      </c>
      <c r="G62" s="69" t="s">
        <v>101</v>
      </c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3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3"/>
      <c r="Y62" s="3"/>
      <c r="AB62" s="43"/>
      <c r="AC62" s="84"/>
    </row>
    <row r="63" spans="1:29" s="4" customFormat="1" ht="11.25">
      <c r="A63" s="50">
        <v>1.44</v>
      </c>
      <c r="B63" s="3"/>
      <c r="C63" s="37"/>
      <c r="D63" s="67"/>
      <c r="E63" s="37"/>
      <c r="F63" s="68"/>
      <c r="G63" s="69"/>
      <c r="H63" s="13"/>
      <c r="I63" s="13">
        <f t="shared" si="9"/>
        <v>0</v>
      </c>
      <c r="J63" s="13">
        <f t="shared" si="17"/>
        <v>0</v>
      </c>
      <c r="K63" s="13"/>
      <c r="L63" s="13">
        <f t="shared" si="10"/>
        <v>0</v>
      </c>
      <c r="M63" s="13"/>
      <c r="N63" s="13">
        <f t="shared" si="11"/>
        <v>0</v>
      </c>
      <c r="O63" s="13"/>
      <c r="P63" s="13">
        <f t="shared" si="12"/>
        <v>0</v>
      </c>
      <c r="Q63" s="38"/>
      <c r="R63" s="13">
        <f t="shared" si="13"/>
        <v>0</v>
      </c>
      <c r="S63" s="13">
        <f t="shared" si="14"/>
        <v>0</v>
      </c>
      <c r="T63" s="38"/>
      <c r="U63" s="13">
        <f t="shared" si="15"/>
        <v>0</v>
      </c>
      <c r="V63" s="13">
        <f t="shared" si="16"/>
        <v>0</v>
      </c>
      <c r="W63" s="3"/>
      <c r="X63" s="3"/>
      <c r="Y63" s="3"/>
      <c r="AB63" s="43"/>
      <c r="AC63" s="84"/>
    </row>
    <row r="64" spans="1:29" s="4" customFormat="1" ht="11.25">
      <c r="A64" s="50">
        <v>1.45</v>
      </c>
      <c r="B64" s="3"/>
      <c r="C64" s="37"/>
      <c r="D64" s="56"/>
      <c r="E64" s="37"/>
      <c r="F64" s="64"/>
      <c r="G64" s="57"/>
      <c r="H64" s="13"/>
      <c r="I64" s="13">
        <f t="shared" si="9"/>
        <v>0</v>
      </c>
      <c r="J64" s="13">
        <f t="shared" si="17"/>
        <v>0</v>
      </c>
      <c r="K64" s="13"/>
      <c r="L64" s="13">
        <f t="shared" si="10"/>
        <v>0</v>
      </c>
      <c r="M64" s="13"/>
      <c r="N64" s="13">
        <f t="shared" si="11"/>
        <v>0</v>
      </c>
      <c r="O64" s="13"/>
      <c r="P64" s="13">
        <f t="shared" si="12"/>
        <v>0</v>
      </c>
      <c r="Q64" s="38"/>
      <c r="R64" s="13">
        <f t="shared" si="13"/>
        <v>0</v>
      </c>
      <c r="S64" s="13">
        <f t="shared" si="14"/>
        <v>0</v>
      </c>
      <c r="T64" s="38"/>
      <c r="U64" s="13">
        <f t="shared" si="15"/>
        <v>0</v>
      </c>
      <c r="V64" s="13">
        <f t="shared" si="16"/>
        <v>0</v>
      </c>
      <c r="W64" s="3"/>
      <c r="X64" s="3"/>
      <c r="Y64" s="3"/>
      <c r="AB64" s="43"/>
      <c r="AC64" s="84"/>
    </row>
    <row r="65" spans="2:29" s="14" customFormat="1" ht="24.75" customHeight="1">
      <c r="B65" s="121" t="s">
        <v>37</v>
      </c>
      <c r="C65" s="121"/>
      <c r="D65" s="121"/>
      <c r="E65" s="121"/>
      <c r="F65" s="121"/>
      <c r="G65" s="121"/>
      <c r="H65" s="121"/>
      <c r="I65" s="36">
        <f>SUM(I14:I64)</f>
        <v>0</v>
      </c>
      <c r="J65" s="36">
        <f>SUM(J14:J64)</f>
        <v>0</v>
      </c>
      <c r="K65" s="48"/>
      <c r="L65" s="36">
        <f>SUM(L14:L64)</f>
        <v>0</v>
      </c>
      <c r="M65" s="48"/>
      <c r="N65" s="36">
        <f>SUM(N14:N64)</f>
        <v>8025040.9568</v>
      </c>
      <c r="O65" s="48"/>
      <c r="P65" s="36">
        <f>SUM(P14:P64)</f>
        <v>0</v>
      </c>
      <c r="Q65" s="41">
        <f>R65/S65</f>
        <v>0</v>
      </c>
      <c r="R65" s="36">
        <f>SUM(R14:R64)</f>
        <v>0</v>
      </c>
      <c r="S65" s="36">
        <f>SUM(S14:S64)</f>
        <v>8025040.9568</v>
      </c>
      <c r="T65" s="41">
        <f>U65/S65</f>
        <v>0.25</v>
      </c>
      <c r="U65" s="36">
        <f>SUM(U14:U64)</f>
        <v>2006260.2392</v>
      </c>
      <c r="V65" s="36">
        <f>SUM(V14:V64)</f>
        <v>10031301.196</v>
      </c>
      <c r="W65" s="4"/>
      <c r="X65" s="4"/>
      <c r="Y65" s="4"/>
      <c r="AB65" s="80"/>
      <c r="AC65" s="84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4"/>
    </row>
    <row r="67" spans="2:29" s="4" customFormat="1" ht="11.25">
      <c r="B67" s="49" t="s">
        <v>45</v>
      </c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B67" s="43"/>
      <c r="AC67" s="84"/>
    </row>
    <row r="68" spans="2:29" s="4" customFormat="1" ht="4.5" customHeight="1">
      <c r="B68" s="45"/>
      <c r="C68" s="45"/>
      <c r="D68" s="45"/>
      <c r="E68" s="45"/>
      <c r="F68" s="46"/>
      <c r="G68" s="61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46"/>
      <c r="S68" s="46"/>
      <c r="T68" s="47"/>
      <c r="U68" s="46"/>
      <c r="V68" s="46"/>
      <c r="W68" s="45"/>
      <c r="X68" s="45"/>
      <c r="Y68" s="45"/>
      <c r="AB68" s="43"/>
      <c r="AC68" s="84"/>
    </row>
    <row r="69" spans="1:29" s="4" customFormat="1" ht="22.5">
      <c r="A69" s="50">
        <v>2.01</v>
      </c>
      <c r="B69" s="3"/>
      <c r="C69" s="3"/>
      <c r="D69" s="3" t="s">
        <v>61</v>
      </c>
      <c r="E69" s="3" t="s">
        <v>142</v>
      </c>
      <c r="F69" s="64">
        <f>40*30.4*5</f>
        <v>6080</v>
      </c>
      <c r="G69" s="57" t="s">
        <v>71</v>
      </c>
      <c r="H69" s="13"/>
      <c r="I69" s="13">
        <f>F69*H69</f>
        <v>0</v>
      </c>
      <c r="J69" s="13">
        <f aca="true" t="shared" si="18" ref="J69:J85">I69*$L$8</f>
        <v>0</v>
      </c>
      <c r="K69" s="13"/>
      <c r="L69" s="13">
        <f>F69*K69</f>
        <v>0</v>
      </c>
      <c r="M69" s="62">
        <v>534.8</v>
      </c>
      <c r="N69" s="13">
        <f>F69*M69</f>
        <v>3251583.9999999995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3251583.9999999995</v>
      </c>
      <c r="T69" s="38">
        <v>0.25</v>
      </c>
      <c r="U69" s="13">
        <f>S69*T69</f>
        <v>812895.9999999999</v>
      </c>
      <c r="V69" s="13">
        <f>S69+U69</f>
        <v>4064479.9999999995</v>
      </c>
      <c r="W69" s="3"/>
      <c r="X69" s="3"/>
      <c r="Y69" s="3"/>
      <c r="AB69" s="43"/>
      <c r="AC69" s="84"/>
    </row>
    <row r="70" spans="1:29" s="4" customFormat="1" ht="22.5">
      <c r="A70" s="50">
        <v>2.02</v>
      </c>
      <c r="B70" s="3"/>
      <c r="C70" s="3"/>
      <c r="D70" s="37" t="s">
        <v>46</v>
      </c>
      <c r="E70" s="3"/>
      <c r="F70" s="66">
        <v>0.03</v>
      </c>
      <c r="G70" s="57"/>
      <c r="H70" s="13"/>
      <c r="I70" s="13">
        <f>F70*H70</f>
        <v>0</v>
      </c>
      <c r="J70" s="13">
        <f t="shared" si="18"/>
        <v>0</v>
      </c>
      <c r="K70" s="13"/>
      <c r="L70" s="13">
        <f>F70*K70</f>
        <v>0</v>
      </c>
      <c r="M70" s="62">
        <f>S65</f>
        <v>8025040.9568</v>
      </c>
      <c r="N70" s="13">
        <f>F70*M70</f>
        <v>240751.22870399998</v>
      </c>
      <c r="O70" s="13"/>
      <c r="P70" s="13">
        <f>F70*O70</f>
        <v>0</v>
      </c>
      <c r="Q70" s="38"/>
      <c r="R70" s="13">
        <f>(J70+L70+N70+P70)*Q70</f>
        <v>0</v>
      </c>
      <c r="S70" s="13">
        <f>J70+L70+N70+P70+R70</f>
        <v>240751.22870399998</v>
      </c>
      <c r="T70" s="38">
        <v>0.25</v>
      </c>
      <c r="U70" s="13">
        <f>S70*T70</f>
        <v>60187.807175999995</v>
      </c>
      <c r="V70" s="13">
        <f>S70+U70</f>
        <v>300939.03588</v>
      </c>
      <c r="W70" s="3"/>
      <c r="X70" s="3"/>
      <c r="Y70" s="3"/>
      <c r="AB70" s="43"/>
      <c r="AC70" s="84"/>
    </row>
    <row r="71" spans="1:29" s="4" customFormat="1" ht="11.25">
      <c r="A71" s="50">
        <v>2.03</v>
      </c>
      <c r="B71" s="3"/>
      <c r="C71" s="3"/>
      <c r="D71" s="3" t="s">
        <v>70</v>
      </c>
      <c r="E71" s="3" t="s">
        <v>108</v>
      </c>
      <c r="F71" s="64"/>
      <c r="G71" s="57"/>
      <c r="H71" s="13"/>
      <c r="I71" s="13">
        <f aca="true" t="shared" si="19" ref="I71:I85">F71*H71</f>
        <v>0</v>
      </c>
      <c r="J71" s="13">
        <f t="shared" si="18"/>
        <v>0</v>
      </c>
      <c r="K71" s="13"/>
      <c r="L71" s="13">
        <f aca="true" t="shared" si="20" ref="L71:L85">F71*K71</f>
        <v>0</v>
      </c>
      <c r="M71" s="65"/>
      <c r="N71" s="13">
        <f aca="true" t="shared" si="21" ref="N71:N85">F71*M71</f>
        <v>0</v>
      </c>
      <c r="O71" s="13"/>
      <c r="P71" s="13">
        <f aca="true" t="shared" si="22" ref="P71:P85">F71*O71</f>
        <v>0</v>
      </c>
      <c r="Q71" s="38"/>
      <c r="R71" s="13">
        <f aca="true" t="shared" si="23" ref="R71:R85">(J71+L71+N71+P71)*Q71</f>
        <v>0</v>
      </c>
      <c r="S71" s="13">
        <f aca="true" t="shared" si="24" ref="S71:S85">J71+L71+N71+P71+R71</f>
        <v>0</v>
      </c>
      <c r="T71" s="38"/>
      <c r="U71" s="13">
        <f aca="true" t="shared" si="25" ref="U71:U85">S71*T71</f>
        <v>0</v>
      </c>
      <c r="V71" s="13">
        <f aca="true" t="shared" si="26" ref="V71:V85">S71+U71</f>
        <v>0</v>
      </c>
      <c r="W71" s="3"/>
      <c r="X71" s="3"/>
      <c r="Y71" s="3"/>
      <c r="AB71" s="43"/>
      <c r="AC71" s="84"/>
    </row>
    <row r="72" spans="1:29" s="4" customFormat="1" ht="11.25">
      <c r="A72" s="50">
        <v>2.04</v>
      </c>
      <c r="B72" s="3"/>
      <c r="C72" s="3"/>
      <c r="D72" s="3" t="s">
        <v>121</v>
      </c>
      <c r="E72" s="3" t="s">
        <v>138</v>
      </c>
      <c r="F72" s="64">
        <f>5*30.4</f>
        <v>152</v>
      </c>
      <c r="G72" s="57" t="s">
        <v>80</v>
      </c>
      <c r="H72" s="13"/>
      <c r="I72" s="13">
        <f t="shared" si="19"/>
        <v>0</v>
      </c>
      <c r="J72" s="13">
        <f t="shared" si="18"/>
        <v>0</v>
      </c>
      <c r="K72" s="13"/>
      <c r="L72" s="13">
        <f t="shared" si="20"/>
        <v>0</v>
      </c>
      <c r="M72" s="65">
        <f>223.1*12</f>
        <v>2677.2</v>
      </c>
      <c r="N72" s="13">
        <f t="shared" si="21"/>
        <v>406934.39999999997</v>
      </c>
      <c r="O72" s="13"/>
      <c r="P72" s="13">
        <f t="shared" si="22"/>
        <v>0</v>
      </c>
      <c r="Q72" s="38"/>
      <c r="R72" s="13">
        <f t="shared" si="23"/>
        <v>0</v>
      </c>
      <c r="S72" s="13">
        <f t="shared" si="24"/>
        <v>406934.39999999997</v>
      </c>
      <c r="T72" s="38">
        <v>0.25</v>
      </c>
      <c r="U72" s="13">
        <f t="shared" si="25"/>
        <v>101733.59999999999</v>
      </c>
      <c r="V72" s="13">
        <f t="shared" si="26"/>
        <v>508667.99999999994</v>
      </c>
      <c r="W72" s="3"/>
      <c r="X72" s="3"/>
      <c r="Y72" s="3"/>
      <c r="AB72" s="43"/>
      <c r="AC72" s="84"/>
    </row>
    <row r="73" spans="1:29" s="4" customFormat="1" ht="22.5">
      <c r="A73" s="50">
        <v>2.05</v>
      </c>
      <c r="B73" s="3"/>
      <c r="C73" s="3"/>
      <c r="D73" s="3" t="s">
        <v>47</v>
      </c>
      <c r="E73" s="3" t="s">
        <v>108</v>
      </c>
      <c r="F73" s="64"/>
      <c r="G73" s="2"/>
      <c r="H73" s="13"/>
      <c r="I73" s="13">
        <f t="shared" si="19"/>
        <v>0</v>
      </c>
      <c r="J73" s="13">
        <f t="shared" si="18"/>
        <v>0</v>
      </c>
      <c r="K73" s="13"/>
      <c r="L73" s="13">
        <f t="shared" si="20"/>
        <v>0</v>
      </c>
      <c r="M73" s="13"/>
      <c r="N73" s="13">
        <f t="shared" si="21"/>
        <v>0</v>
      </c>
      <c r="O73" s="13"/>
      <c r="P73" s="13">
        <f t="shared" si="22"/>
        <v>0</v>
      </c>
      <c r="Q73" s="38"/>
      <c r="R73" s="13">
        <f t="shared" si="23"/>
        <v>0</v>
      </c>
      <c r="S73" s="13">
        <f t="shared" si="24"/>
        <v>0</v>
      </c>
      <c r="T73" s="38"/>
      <c r="U73" s="13">
        <f t="shared" si="25"/>
        <v>0</v>
      </c>
      <c r="V73" s="13">
        <f t="shared" si="26"/>
        <v>0</v>
      </c>
      <c r="W73" s="3"/>
      <c r="X73" s="3"/>
      <c r="Y73" s="3"/>
      <c r="AB73" s="43"/>
      <c r="AC73" s="84"/>
    </row>
    <row r="74" spans="1:29" s="4" customFormat="1" ht="11.25">
      <c r="A74" s="50">
        <v>2.06</v>
      </c>
      <c r="B74" s="3"/>
      <c r="C74" s="3"/>
      <c r="D74" s="3" t="s">
        <v>48</v>
      </c>
      <c r="E74" s="3" t="s">
        <v>108</v>
      </c>
      <c r="F74" s="64"/>
      <c r="G74" s="2"/>
      <c r="H74" s="13"/>
      <c r="I74" s="13">
        <f t="shared" si="19"/>
        <v>0</v>
      </c>
      <c r="J74" s="13">
        <f t="shared" si="18"/>
        <v>0</v>
      </c>
      <c r="K74" s="13"/>
      <c r="L74" s="13">
        <f t="shared" si="20"/>
        <v>0</v>
      </c>
      <c r="M74" s="13"/>
      <c r="N74" s="13">
        <f t="shared" si="21"/>
        <v>0</v>
      </c>
      <c r="O74" s="13"/>
      <c r="P74" s="13">
        <f t="shared" si="22"/>
        <v>0</v>
      </c>
      <c r="Q74" s="38"/>
      <c r="R74" s="13">
        <f t="shared" si="23"/>
        <v>0</v>
      </c>
      <c r="S74" s="13">
        <f t="shared" si="24"/>
        <v>0</v>
      </c>
      <c r="T74" s="38"/>
      <c r="U74" s="13">
        <f t="shared" si="25"/>
        <v>0</v>
      </c>
      <c r="V74" s="13">
        <f t="shared" si="26"/>
        <v>0</v>
      </c>
      <c r="W74" s="3"/>
      <c r="X74" s="3"/>
      <c r="Y74" s="3"/>
      <c r="AB74" s="43"/>
      <c r="AC74" s="84"/>
    </row>
    <row r="75" spans="1:29" s="4" customFormat="1" ht="11.25">
      <c r="A75" s="50">
        <v>2.07</v>
      </c>
      <c r="B75" s="3"/>
      <c r="C75" s="3"/>
      <c r="D75" s="3" t="s">
        <v>49</v>
      </c>
      <c r="E75" s="3" t="s">
        <v>108</v>
      </c>
      <c r="F75" s="64"/>
      <c r="G75" s="2"/>
      <c r="H75" s="13"/>
      <c r="I75" s="13">
        <f t="shared" si="19"/>
        <v>0</v>
      </c>
      <c r="J75" s="13">
        <f t="shared" si="18"/>
        <v>0</v>
      </c>
      <c r="K75" s="13"/>
      <c r="L75" s="13">
        <f t="shared" si="20"/>
        <v>0</v>
      </c>
      <c r="M75" s="13"/>
      <c r="N75" s="13">
        <f t="shared" si="21"/>
        <v>0</v>
      </c>
      <c r="O75" s="13"/>
      <c r="P75" s="13">
        <f t="shared" si="22"/>
        <v>0</v>
      </c>
      <c r="Q75" s="38"/>
      <c r="R75" s="13">
        <f t="shared" si="23"/>
        <v>0</v>
      </c>
      <c r="S75" s="13">
        <f t="shared" si="24"/>
        <v>0</v>
      </c>
      <c r="T75" s="38"/>
      <c r="U75" s="13">
        <f t="shared" si="25"/>
        <v>0</v>
      </c>
      <c r="V75" s="13">
        <f t="shared" si="26"/>
        <v>0</v>
      </c>
      <c r="W75" s="3"/>
      <c r="X75" s="3"/>
      <c r="Y75" s="3"/>
      <c r="AB75" s="43"/>
      <c r="AC75" s="84"/>
    </row>
    <row r="76" spans="1:29" s="4" customFormat="1" ht="49.5" customHeight="1">
      <c r="A76" s="50">
        <v>2.08</v>
      </c>
      <c r="B76" s="3"/>
      <c r="C76" s="3"/>
      <c r="D76" s="3" t="s">
        <v>50</v>
      </c>
      <c r="E76" s="3" t="s">
        <v>104</v>
      </c>
      <c r="F76" s="64">
        <f>60*5*2</f>
        <v>600</v>
      </c>
      <c r="G76" s="57" t="s">
        <v>96</v>
      </c>
      <c r="H76" s="13"/>
      <c r="I76" s="13">
        <f>F76*H76</f>
        <v>0</v>
      </c>
      <c r="J76" s="13">
        <f t="shared" si="18"/>
        <v>0</v>
      </c>
      <c r="K76" s="13"/>
      <c r="L76" s="13">
        <f>F76*K76</f>
        <v>0</v>
      </c>
      <c r="M76" s="62">
        <f>984+(2*80)</f>
        <v>1144</v>
      </c>
      <c r="N76" s="13">
        <f>F76*M76</f>
        <v>686400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686400</v>
      </c>
      <c r="T76" s="38">
        <v>0.25</v>
      </c>
      <c r="U76" s="13">
        <f>S76*T76</f>
        <v>171600</v>
      </c>
      <c r="V76" s="13">
        <f>S76+U76</f>
        <v>858000</v>
      </c>
      <c r="W76" s="3"/>
      <c r="X76" s="3"/>
      <c r="Y76" s="3"/>
      <c r="AB76" s="43"/>
      <c r="AC76" s="84"/>
    </row>
    <row r="77" spans="1:29" s="4" customFormat="1" ht="11.25">
      <c r="A77" s="50">
        <v>2.09</v>
      </c>
      <c r="B77" s="3"/>
      <c r="C77" s="3"/>
      <c r="D77" s="3" t="s">
        <v>51</v>
      </c>
      <c r="E77" s="3" t="s">
        <v>108</v>
      </c>
      <c r="F77" s="64"/>
      <c r="G77" s="2"/>
      <c r="H77" s="13"/>
      <c r="I77" s="13">
        <f>F77*H77</f>
        <v>0</v>
      </c>
      <c r="J77" s="13">
        <f t="shared" si="18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4"/>
    </row>
    <row r="78" spans="1:29" s="4" customFormat="1" ht="11.25">
      <c r="A78" s="50">
        <v>2.1</v>
      </c>
      <c r="B78" s="3"/>
      <c r="C78" s="3"/>
      <c r="D78" s="3" t="s">
        <v>52</v>
      </c>
      <c r="E78" s="3" t="s">
        <v>119</v>
      </c>
      <c r="F78" s="64">
        <v>6</v>
      </c>
      <c r="G78" s="57" t="s">
        <v>124</v>
      </c>
      <c r="H78" s="13"/>
      <c r="I78" s="13">
        <f>F78*H78</f>
        <v>0</v>
      </c>
      <c r="J78" s="13">
        <f t="shared" si="18"/>
        <v>0</v>
      </c>
      <c r="K78" s="13"/>
      <c r="L78" s="13">
        <f>F78*K78</f>
        <v>0</v>
      </c>
      <c r="M78" s="62">
        <v>9361.68</v>
      </c>
      <c r="N78" s="13">
        <f>F78*M78</f>
        <v>56170.08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56170.08</v>
      </c>
      <c r="T78" s="38">
        <v>0.25</v>
      </c>
      <c r="U78" s="13">
        <f>S78*T78</f>
        <v>14042.52</v>
      </c>
      <c r="V78" s="13">
        <f>S78+U78</f>
        <v>70212.6</v>
      </c>
      <c r="W78" s="3"/>
      <c r="X78" s="3"/>
      <c r="Y78" s="3"/>
      <c r="AB78" s="43"/>
      <c r="AC78" s="84"/>
    </row>
    <row r="79" spans="1:29" s="4" customFormat="1" ht="11.25">
      <c r="A79" s="50">
        <v>2.11</v>
      </c>
      <c r="B79" s="3"/>
      <c r="C79" s="3"/>
      <c r="D79" s="3" t="s">
        <v>53</v>
      </c>
      <c r="E79" s="3" t="s">
        <v>108</v>
      </c>
      <c r="F79" s="64"/>
      <c r="G79" s="2"/>
      <c r="H79" s="13"/>
      <c r="I79" s="13">
        <f>F79*H79</f>
        <v>0</v>
      </c>
      <c r="J79" s="13">
        <f t="shared" si="18"/>
        <v>0</v>
      </c>
      <c r="K79" s="13"/>
      <c r="L79" s="13">
        <f>F79*K79</f>
        <v>0</v>
      </c>
      <c r="M79" s="13"/>
      <c r="N79" s="13">
        <f>F79*M79</f>
        <v>0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0</v>
      </c>
      <c r="T79" s="38"/>
      <c r="U79" s="13">
        <f>S79*T79</f>
        <v>0</v>
      </c>
      <c r="V79" s="13">
        <f>S79+U79</f>
        <v>0</v>
      </c>
      <c r="W79" s="3"/>
      <c r="X79" s="3"/>
      <c r="Y79" s="3"/>
      <c r="AB79" s="43"/>
      <c r="AC79" s="84"/>
    </row>
    <row r="80" spans="1:29" s="4" customFormat="1" ht="11.25">
      <c r="A80" s="50">
        <v>2.12</v>
      </c>
      <c r="B80" s="3"/>
      <c r="C80" s="3"/>
      <c r="D80" s="3" t="s">
        <v>54</v>
      </c>
      <c r="E80" s="3" t="s">
        <v>108</v>
      </c>
      <c r="F80" s="64"/>
      <c r="G80" s="2"/>
      <c r="H80" s="13"/>
      <c r="I80" s="13">
        <f>F80*H80</f>
        <v>0</v>
      </c>
      <c r="J80" s="13">
        <f t="shared" si="18"/>
        <v>0</v>
      </c>
      <c r="K80" s="13"/>
      <c r="L80" s="13">
        <f>F80*K80</f>
        <v>0</v>
      </c>
      <c r="M80" s="13"/>
      <c r="N80" s="13">
        <f>F80*M80</f>
        <v>0</v>
      </c>
      <c r="O80" s="13"/>
      <c r="P80" s="13">
        <f>F80*O80</f>
        <v>0</v>
      </c>
      <c r="Q80" s="38"/>
      <c r="R80" s="13">
        <f>(J80+L80+N80+P80)*Q80</f>
        <v>0</v>
      </c>
      <c r="S80" s="13">
        <f>J80+L80+N80+P80+R80</f>
        <v>0</v>
      </c>
      <c r="T80" s="38"/>
      <c r="U80" s="13">
        <f>S80*T80</f>
        <v>0</v>
      </c>
      <c r="V80" s="13">
        <f>S80+U80</f>
        <v>0</v>
      </c>
      <c r="W80" s="3"/>
      <c r="X80" s="3"/>
      <c r="Y80" s="3"/>
      <c r="AB80" s="43"/>
      <c r="AC80" s="84"/>
    </row>
    <row r="81" spans="1:29" s="4" customFormat="1" ht="11.25">
      <c r="A81" s="50">
        <v>2.13</v>
      </c>
      <c r="B81" s="3"/>
      <c r="C81" s="3"/>
      <c r="D81" s="3" t="s">
        <v>55</v>
      </c>
      <c r="E81" s="3" t="s">
        <v>108</v>
      </c>
      <c r="F81" s="64"/>
      <c r="G81" s="2"/>
      <c r="H81" s="13"/>
      <c r="I81" s="13">
        <f t="shared" si="19"/>
        <v>0</v>
      </c>
      <c r="J81" s="13">
        <f t="shared" si="18"/>
        <v>0</v>
      </c>
      <c r="K81" s="13"/>
      <c r="L81" s="13">
        <f t="shared" si="20"/>
        <v>0</v>
      </c>
      <c r="M81" s="13"/>
      <c r="N81" s="13">
        <f t="shared" si="21"/>
        <v>0</v>
      </c>
      <c r="O81" s="13"/>
      <c r="P81" s="13">
        <f t="shared" si="22"/>
        <v>0</v>
      </c>
      <c r="Q81" s="38"/>
      <c r="R81" s="13">
        <f t="shared" si="23"/>
        <v>0</v>
      </c>
      <c r="S81" s="13">
        <f t="shared" si="24"/>
        <v>0</v>
      </c>
      <c r="T81" s="38"/>
      <c r="U81" s="13">
        <f t="shared" si="25"/>
        <v>0</v>
      </c>
      <c r="V81" s="13">
        <f t="shared" si="26"/>
        <v>0</v>
      </c>
      <c r="W81" s="3"/>
      <c r="X81" s="3"/>
      <c r="Y81" s="3"/>
      <c r="AB81" s="43"/>
      <c r="AC81" s="84"/>
    </row>
    <row r="82" spans="1:29" s="4" customFormat="1" ht="22.5">
      <c r="A82" s="50">
        <v>2.14</v>
      </c>
      <c r="B82" s="3"/>
      <c r="C82" s="3"/>
      <c r="D82" s="3" t="s">
        <v>56</v>
      </c>
      <c r="E82" s="3"/>
      <c r="F82" s="66">
        <v>0.02</v>
      </c>
      <c r="G82" s="57"/>
      <c r="H82" s="13"/>
      <c r="I82" s="13">
        <f t="shared" si="19"/>
        <v>0</v>
      </c>
      <c r="J82" s="13">
        <f t="shared" si="18"/>
        <v>0</v>
      </c>
      <c r="K82" s="13"/>
      <c r="L82" s="13">
        <f t="shared" si="20"/>
        <v>0</v>
      </c>
      <c r="M82" s="62">
        <f>S65</f>
        <v>8025040.9568</v>
      </c>
      <c r="N82" s="13">
        <f t="shared" si="21"/>
        <v>160500.819136</v>
      </c>
      <c r="O82" s="13"/>
      <c r="P82" s="13">
        <f t="shared" si="22"/>
        <v>0</v>
      </c>
      <c r="Q82" s="38"/>
      <c r="R82" s="13">
        <f t="shared" si="23"/>
        <v>0</v>
      </c>
      <c r="S82" s="13">
        <f t="shared" si="24"/>
        <v>160500.819136</v>
      </c>
      <c r="T82" s="38">
        <v>0.25</v>
      </c>
      <c r="U82" s="13">
        <f t="shared" si="25"/>
        <v>40125.204784</v>
      </c>
      <c r="V82" s="13">
        <f t="shared" si="26"/>
        <v>200626.02392</v>
      </c>
      <c r="W82" s="3"/>
      <c r="X82" s="3"/>
      <c r="Y82" s="3"/>
      <c r="AB82" s="43"/>
      <c r="AC82" s="84"/>
    </row>
    <row r="83" spans="1:29" s="4" customFormat="1" ht="22.5">
      <c r="A83" s="50">
        <v>2.15</v>
      </c>
      <c r="B83" s="3"/>
      <c r="C83" s="3"/>
      <c r="D83" s="3" t="s">
        <v>63</v>
      </c>
      <c r="E83" s="3"/>
      <c r="F83" s="66">
        <v>0.02</v>
      </c>
      <c r="G83" s="2"/>
      <c r="H83" s="13"/>
      <c r="I83" s="13">
        <f t="shared" si="19"/>
        <v>0</v>
      </c>
      <c r="J83" s="13">
        <f t="shared" si="18"/>
        <v>0</v>
      </c>
      <c r="K83" s="13"/>
      <c r="L83" s="13">
        <f t="shared" si="20"/>
        <v>0</v>
      </c>
      <c r="M83" s="62">
        <f>S65</f>
        <v>8025040.9568</v>
      </c>
      <c r="N83" s="13">
        <f t="shared" si="21"/>
        <v>160500.819136</v>
      </c>
      <c r="O83" s="13"/>
      <c r="P83" s="13">
        <f t="shared" si="22"/>
        <v>0</v>
      </c>
      <c r="Q83" s="38"/>
      <c r="R83" s="13">
        <f t="shared" si="23"/>
        <v>0</v>
      </c>
      <c r="S83" s="13">
        <f t="shared" si="24"/>
        <v>160500.819136</v>
      </c>
      <c r="T83" s="38">
        <v>0.25</v>
      </c>
      <c r="U83" s="13">
        <f t="shared" si="25"/>
        <v>40125.204784</v>
      </c>
      <c r="V83" s="13">
        <f t="shared" si="26"/>
        <v>200626.02392</v>
      </c>
      <c r="W83" s="3"/>
      <c r="X83" s="3"/>
      <c r="Y83" s="3"/>
      <c r="AB83" s="43"/>
      <c r="AC83" s="84"/>
    </row>
    <row r="84" spans="1:29" s="4" customFormat="1" ht="11.25">
      <c r="A84" s="50">
        <v>2.16</v>
      </c>
      <c r="B84" s="3"/>
      <c r="C84" s="3"/>
      <c r="D84" s="3" t="s">
        <v>57</v>
      </c>
      <c r="E84" s="3" t="s">
        <v>108</v>
      </c>
      <c r="F84" s="64"/>
      <c r="G84" s="2"/>
      <c r="H84" s="13"/>
      <c r="I84" s="13">
        <f t="shared" si="19"/>
        <v>0</v>
      </c>
      <c r="J84" s="13">
        <f t="shared" si="18"/>
        <v>0</v>
      </c>
      <c r="K84" s="13"/>
      <c r="L84" s="13">
        <f t="shared" si="20"/>
        <v>0</v>
      </c>
      <c r="M84" s="13"/>
      <c r="N84" s="13">
        <f t="shared" si="21"/>
        <v>0</v>
      </c>
      <c r="O84" s="13"/>
      <c r="P84" s="13">
        <f t="shared" si="22"/>
        <v>0</v>
      </c>
      <c r="Q84" s="38"/>
      <c r="R84" s="13">
        <f t="shared" si="23"/>
        <v>0</v>
      </c>
      <c r="S84" s="13">
        <f t="shared" si="24"/>
        <v>0</v>
      </c>
      <c r="T84" s="38"/>
      <c r="U84" s="13">
        <f t="shared" si="25"/>
        <v>0</v>
      </c>
      <c r="V84" s="13">
        <f t="shared" si="26"/>
        <v>0</v>
      </c>
      <c r="W84" s="3"/>
      <c r="X84" s="3"/>
      <c r="Y84" s="3"/>
      <c r="AC84" s="84"/>
    </row>
    <row r="85" spans="1:29" s="4" customFormat="1" ht="11.25">
      <c r="A85" s="50">
        <v>2.17</v>
      </c>
      <c r="B85" s="3"/>
      <c r="C85" s="3"/>
      <c r="D85" s="3" t="s">
        <v>58</v>
      </c>
      <c r="E85" s="3" t="s">
        <v>108</v>
      </c>
      <c r="F85" s="64"/>
      <c r="G85" s="2"/>
      <c r="H85" s="13"/>
      <c r="I85" s="13">
        <f t="shared" si="19"/>
        <v>0</v>
      </c>
      <c r="J85" s="13">
        <f t="shared" si="18"/>
        <v>0</v>
      </c>
      <c r="K85" s="13"/>
      <c r="L85" s="13">
        <f t="shared" si="20"/>
        <v>0</v>
      </c>
      <c r="M85" s="13"/>
      <c r="N85" s="13">
        <f t="shared" si="21"/>
        <v>0</v>
      </c>
      <c r="O85" s="13"/>
      <c r="P85" s="13">
        <f t="shared" si="22"/>
        <v>0</v>
      </c>
      <c r="Q85" s="38"/>
      <c r="R85" s="13">
        <f t="shared" si="23"/>
        <v>0</v>
      </c>
      <c r="S85" s="13">
        <f t="shared" si="24"/>
        <v>0</v>
      </c>
      <c r="T85" s="38"/>
      <c r="U85" s="13">
        <f t="shared" si="25"/>
        <v>0</v>
      </c>
      <c r="V85" s="13">
        <f t="shared" si="26"/>
        <v>0</v>
      </c>
      <c r="W85" s="3"/>
      <c r="X85" s="3"/>
      <c r="Y85" s="3"/>
      <c r="AC85" s="84"/>
    </row>
    <row r="86" spans="2:29" s="14" customFormat="1" ht="24.75" customHeight="1">
      <c r="B86" s="122" t="s">
        <v>39</v>
      </c>
      <c r="C86" s="123"/>
      <c r="D86" s="123"/>
      <c r="E86" s="123"/>
      <c r="F86" s="123"/>
      <c r="G86" s="123"/>
      <c r="H86" s="124"/>
      <c r="I86" s="36">
        <f>SUM(I69:I85)</f>
        <v>0</v>
      </c>
      <c r="J86" s="36">
        <f>SUM(J69:J85)</f>
        <v>0</v>
      </c>
      <c r="K86" s="35"/>
      <c r="L86" s="36">
        <f>SUM(L69:L85)</f>
        <v>0</v>
      </c>
      <c r="M86" s="35"/>
      <c r="N86" s="36">
        <f>SUM(N69:N85)</f>
        <v>4962841.346976</v>
      </c>
      <c r="O86" s="35"/>
      <c r="P86" s="36">
        <f>SUM(P69:P85)</f>
        <v>0</v>
      </c>
      <c r="Q86" s="41">
        <f>R86/S86</f>
        <v>0</v>
      </c>
      <c r="R86" s="36">
        <f>SUM(R69:R85)</f>
        <v>0</v>
      </c>
      <c r="S86" s="36">
        <f>SUM(S69:S85)</f>
        <v>4962841.346976</v>
      </c>
      <c r="T86" s="41">
        <f>U86/S86</f>
        <v>0.25</v>
      </c>
      <c r="U86" s="36">
        <f>SUM(U69:U85)</f>
        <v>1240710.336744</v>
      </c>
      <c r="V86" s="36">
        <f>SUM(V69:V85)</f>
        <v>6203551.683719998</v>
      </c>
      <c r="W86" s="4"/>
      <c r="X86" s="4"/>
      <c r="Y86" s="4"/>
      <c r="AB86" s="80"/>
      <c r="AC86" s="84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4"/>
    </row>
    <row r="88" spans="2:29" s="4" customFormat="1" ht="11.25">
      <c r="B88" s="49" t="s">
        <v>40</v>
      </c>
      <c r="C88" s="45"/>
      <c r="D88" s="45"/>
      <c r="E88" s="45"/>
      <c r="F88" s="46"/>
      <c r="G88" s="61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6"/>
      <c r="S88" s="46"/>
      <c r="T88" s="47"/>
      <c r="U88" s="46"/>
      <c r="V88" s="46"/>
      <c r="W88" s="45"/>
      <c r="X88" s="45"/>
      <c r="Y88" s="45"/>
      <c r="AB88" s="43"/>
      <c r="AC88" s="84"/>
    </row>
    <row r="89" spans="2:29" s="4" customFormat="1" ht="4.5" customHeight="1">
      <c r="B89" s="45"/>
      <c r="C89" s="45"/>
      <c r="D89" s="45"/>
      <c r="E89" s="45"/>
      <c r="F89" s="46"/>
      <c r="G89" s="61"/>
      <c r="H89" s="46"/>
      <c r="I89" s="46"/>
      <c r="J89" s="46"/>
      <c r="K89" s="46"/>
      <c r="L89" s="46"/>
      <c r="M89" s="46"/>
      <c r="N89" s="46"/>
      <c r="O89" s="46"/>
      <c r="P89" s="46"/>
      <c r="Q89" s="47"/>
      <c r="R89" s="46"/>
      <c r="S89" s="46"/>
      <c r="T89" s="47"/>
      <c r="U89" s="46"/>
      <c r="V89" s="46"/>
      <c r="W89" s="45"/>
      <c r="X89" s="45"/>
      <c r="Y89" s="45"/>
      <c r="AB89" s="43"/>
      <c r="AC89" s="84"/>
    </row>
    <row r="90" spans="1:29" s="4" customFormat="1" ht="11.25">
      <c r="A90" s="50">
        <v>3.01</v>
      </c>
      <c r="B90" s="3"/>
      <c r="C90" s="3"/>
      <c r="D90" s="3" t="s">
        <v>42</v>
      </c>
      <c r="E90" s="3"/>
      <c r="F90" s="66">
        <v>0.1</v>
      </c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65">
        <f>S65+S86</f>
        <v>12987882.303776</v>
      </c>
      <c r="N90" s="13">
        <f>F90*M90</f>
        <v>1298788.2303776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1298788.2303776</v>
      </c>
      <c r="T90" s="38">
        <v>0.25</v>
      </c>
      <c r="U90" s="13">
        <f>S90*T90</f>
        <v>324697.0575944</v>
      </c>
      <c r="V90" s="13">
        <f>S90+U90</f>
        <v>1623485.287972</v>
      </c>
      <c r="W90" s="3"/>
      <c r="X90" s="3"/>
      <c r="Y90" s="3"/>
      <c r="AB90" s="43"/>
      <c r="AC90" s="84"/>
    </row>
    <row r="91" spans="1:29" s="4" customFormat="1" ht="11.25">
      <c r="A91" s="50">
        <v>3.02</v>
      </c>
      <c r="B91" s="3"/>
      <c r="C91" s="3"/>
      <c r="D91" s="3" t="s">
        <v>32</v>
      </c>
      <c r="E91" s="3"/>
      <c r="F91" s="13"/>
      <c r="G91" s="2"/>
      <c r="H91" s="13"/>
      <c r="I91" s="13">
        <f>F91*H91</f>
        <v>0</v>
      </c>
      <c r="J91" s="13">
        <f>I91*$L$8</f>
        <v>0</v>
      </c>
      <c r="K91" s="13"/>
      <c r="L91" s="13">
        <f>F91*K91</f>
        <v>0</v>
      </c>
      <c r="M91" s="13"/>
      <c r="N91" s="13">
        <f>F91*M91</f>
        <v>0</v>
      </c>
      <c r="O91" s="13"/>
      <c r="P91" s="13">
        <f>F91*O91</f>
        <v>0</v>
      </c>
      <c r="Q91" s="38"/>
      <c r="R91" s="13">
        <f>(J91+L91+N91+P91)*Q91</f>
        <v>0</v>
      </c>
      <c r="S91" s="13">
        <f>J91+L91+N91+P91+R91</f>
        <v>0</v>
      </c>
      <c r="T91" s="38"/>
      <c r="U91" s="13">
        <f>S91*T91</f>
        <v>0</v>
      </c>
      <c r="V91" s="13">
        <f>S91+U91</f>
        <v>0</v>
      </c>
      <c r="W91" s="3"/>
      <c r="X91" s="3"/>
      <c r="Y91" s="3"/>
      <c r="AB91" s="43"/>
      <c r="AC91" s="84"/>
    </row>
    <row r="92" spans="1:29" s="4" customFormat="1" ht="11.25">
      <c r="A92" s="50">
        <v>3.03</v>
      </c>
      <c r="B92" s="3"/>
      <c r="C92" s="3"/>
      <c r="D92" s="3" t="s">
        <v>36</v>
      </c>
      <c r="E92" s="3"/>
      <c r="F92" s="13"/>
      <c r="G92" s="2"/>
      <c r="H92" s="13"/>
      <c r="I92" s="13">
        <f>F92*H92</f>
        <v>0</v>
      </c>
      <c r="J92" s="13">
        <f>I92*$L$8</f>
        <v>0</v>
      </c>
      <c r="K92" s="13"/>
      <c r="L92" s="13">
        <f>F92*K92</f>
        <v>0</v>
      </c>
      <c r="M92" s="13"/>
      <c r="N92" s="13">
        <f>F92*M92</f>
        <v>0</v>
      </c>
      <c r="O92" s="13"/>
      <c r="P92" s="13">
        <f>F92*O92</f>
        <v>0</v>
      </c>
      <c r="Q92" s="38"/>
      <c r="R92" s="13">
        <f>(J92+L92+N92+P92)*Q92</f>
        <v>0</v>
      </c>
      <c r="S92" s="13">
        <f>J92+L92+N92+P92+R92</f>
        <v>0</v>
      </c>
      <c r="T92" s="38"/>
      <c r="U92" s="13">
        <f>S92*T92</f>
        <v>0</v>
      </c>
      <c r="V92" s="13">
        <f>S92+U92</f>
        <v>0</v>
      </c>
      <c r="W92" s="3"/>
      <c r="X92" s="3"/>
      <c r="Y92" s="3"/>
      <c r="AB92" s="43"/>
      <c r="AC92" s="84"/>
    </row>
    <row r="93" spans="2:29" s="14" customFormat="1" ht="24.75" customHeight="1">
      <c r="B93" s="122" t="s">
        <v>41</v>
      </c>
      <c r="C93" s="123"/>
      <c r="D93" s="123"/>
      <c r="E93" s="123"/>
      <c r="F93" s="123"/>
      <c r="G93" s="123"/>
      <c r="H93" s="124"/>
      <c r="I93" s="36">
        <f>SUM(I90:I92)</f>
        <v>0</v>
      </c>
      <c r="J93" s="36">
        <f>SUM(J90:J92)</f>
        <v>0</v>
      </c>
      <c r="K93" s="35"/>
      <c r="L93" s="36">
        <f>SUM(L90:L92)</f>
        <v>0</v>
      </c>
      <c r="M93" s="35"/>
      <c r="N93" s="36">
        <f>SUM(N90:N92)</f>
        <v>1298788.2303776</v>
      </c>
      <c r="O93" s="35"/>
      <c r="P93" s="36">
        <f>SUM(P90:P92)</f>
        <v>0</v>
      </c>
      <c r="Q93" s="41">
        <f>R93/S93</f>
        <v>0</v>
      </c>
      <c r="R93" s="36">
        <f>SUM(R90:R92)</f>
        <v>0</v>
      </c>
      <c r="S93" s="36">
        <f>SUM(S90:S92)</f>
        <v>1298788.2303776</v>
      </c>
      <c r="T93" s="41">
        <f>U93/S93</f>
        <v>0.25</v>
      </c>
      <c r="U93" s="36">
        <f>SUM(U90:U92)</f>
        <v>324697.0575944</v>
      </c>
      <c r="V93" s="36">
        <f>SUM(V90:V92)</f>
        <v>1623485.287972</v>
      </c>
      <c r="W93" s="4"/>
      <c r="X93" s="4"/>
      <c r="Y93" s="4"/>
      <c r="AB93" s="80"/>
      <c r="AC93" s="85"/>
    </row>
    <row r="94" spans="7:29" s="4" customFormat="1" ht="11.25">
      <c r="G94" s="12"/>
      <c r="AB94" s="43"/>
      <c r="AC94" s="84"/>
    </row>
    <row r="95" spans="2:29" s="14" customFormat="1" ht="24.75" customHeight="1">
      <c r="B95" s="122" t="s">
        <v>44</v>
      </c>
      <c r="C95" s="123"/>
      <c r="D95" s="123"/>
      <c r="E95" s="123"/>
      <c r="F95" s="123"/>
      <c r="G95" s="123"/>
      <c r="H95" s="124"/>
      <c r="I95" s="36"/>
      <c r="J95" s="36"/>
      <c r="K95" s="35"/>
      <c r="L95" s="36"/>
      <c r="M95" s="35"/>
      <c r="N95" s="36"/>
      <c r="O95" s="35"/>
      <c r="P95" s="36"/>
      <c r="Q95" s="41"/>
      <c r="R95" s="36"/>
      <c r="S95" s="36">
        <f>S65+S86+S93</f>
        <v>14286670.5341536</v>
      </c>
      <c r="T95" s="41">
        <f>U95/S95</f>
        <v>0.25</v>
      </c>
      <c r="U95" s="36">
        <f>U65+U86+U93</f>
        <v>3571667.6335384</v>
      </c>
      <c r="V95" s="36">
        <f>V65+V86+V93</f>
        <v>17858338.167692</v>
      </c>
      <c r="W95" s="4"/>
      <c r="X95" s="4"/>
      <c r="Y95" s="4"/>
      <c r="AB95" s="80"/>
      <c r="AC95" s="85"/>
    </row>
    <row r="96" spans="7:29" s="4" customFormat="1" ht="11.25">
      <c r="G96" s="12"/>
      <c r="AB96" s="43"/>
      <c r="AC96" s="84"/>
    </row>
    <row r="97" spans="7:29" s="4" customFormat="1" ht="11.25">
      <c r="G97" s="12"/>
      <c r="AB97" s="81"/>
      <c r="AC97" s="84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  <c r="AC98" s="84"/>
    </row>
    <row r="99" spans="3:29" s="4" customFormat="1" ht="11.25">
      <c r="C99" s="1"/>
      <c r="D99" s="1"/>
      <c r="E99" s="1"/>
      <c r="F99" s="1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  <c r="AB99" s="43"/>
      <c r="AC99" s="84"/>
    </row>
    <row r="100" spans="3:29" s="4" customFormat="1" ht="11.25">
      <c r="C100" s="1"/>
      <c r="D100" s="1"/>
      <c r="E100" s="1"/>
      <c r="F100" s="1"/>
      <c r="G100" s="4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  <c r="AB100" s="43"/>
      <c r="AC100" s="84"/>
    </row>
    <row r="101" spans="7:29" s="4" customFormat="1" ht="11.25">
      <c r="G101" s="12"/>
      <c r="AB101" s="43"/>
      <c r="AC101" s="84"/>
    </row>
    <row r="102" spans="7:29" s="4" customFormat="1" ht="11.25">
      <c r="G102" s="12"/>
      <c r="AB102" s="43"/>
      <c r="AC102" s="84"/>
    </row>
    <row r="103" spans="7:29" s="4" customFormat="1" ht="11.25">
      <c r="G103" s="12"/>
      <c r="AB103" s="43"/>
      <c r="AC103" s="84"/>
    </row>
    <row r="104" spans="7:29" s="4" customFormat="1" ht="11.25">
      <c r="G104" s="12"/>
      <c r="AB104" s="43"/>
      <c r="AC104" s="84"/>
    </row>
    <row r="105" spans="7:29" s="4" customFormat="1" ht="11.25">
      <c r="G105" s="12"/>
      <c r="AB105" s="43"/>
      <c r="AC105" s="84"/>
    </row>
    <row r="106" spans="7:29" s="4" customFormat="1" ht="11.25">
      <c r="G106" s="12"/>
      <c r="AB106" s="43"/>
      <c r="AC106" s="84"/>
    </row>
    <row r="107" spans="7:29" s="4" customFormat="1" ht="11.25">
      <c r="G107" s="12"/>
      <c r="AB107" s="43"/>
      <c r="AC107" s="84"/>
    </row>
    <row r="108" spans="7:29" s="4" customFormat="1" ht="11.25">
      <c r="G108" s="12"/>
      <c r="AB108" s="43"/>
      <c r="AC108" s="84"/>
    </row>
    <row r="109" spans="7:29" s="4" customFormat="1" ht="11.25">
      <c r="G109" s="12"/>
      <c r="AB109" s="43"/>
      <c r="AC109" s="84"/>
    </row>
    <row r="110" spans="7:29" s="4" customFormat="1" ht="11.25">
      <c r="G110" s="12"/>
      <c r="AB110" s="43"/>
      <c r="AC110" s="84"/>
    </row>
    <row r="111" spans="7:29" s="4" customFormat="1" ht="11.25">
      <c r="G111" s="12"/>
      <c r="AB111" s="43"/>
      <c r="AC111" s="84"/>
    </row>
    <row r="112" spans="7:29" s="4" customFormat="1" ht="11.25">
      <c r="G112" s="12"/>
      <c r="AB112" s="43"/>
      <c r="AC112" s="84"/>
    </row>
    <row r="113" spans="7:29" s="4" customFormat="1" ht="11.25">
      <c r="G113" s="12"/>
      <c r="AB113" s="43"/>
      <c r="AC113" s="84"/>
    </row>
    <row r="114" spans="7:29" s="4" customFormat="1" ht="11.25">
      <c r="G114" s="12"/>
      <c r="AB114" s="43"/>
      <c r="AC114" s="84"/>
    </row>
    <row r="115" spans="7:29" s="4" customFormat="1" ht="11.25">
      <c r="G115" s="12"/>
      <c r="AB115" s="43"/>
      <c r="AC115" s="84"/>
    </row>
    <row r="116" spans="7:29" s="4" customFormat="1" ht="11.25">
      <c r="G116" s="12"/>
      <c r="AB116" s="43"/>
      <c r="AC116" s="84"/>
    </row>
    <row r="117" spans="7:29" s="4" customFormat="1" ht="11.25">
      <c r="G117" s="12"/>
      <c r="AB117" s="43"/>
      <c r="AC117" s="84"/>
    </row>
    <row r="118" spans="7:29" s="4" customFormat="1" ht="11.25">
      <c r="G118" s="12"/>
      <c r="AB118" s="43"/>
      <c r="AC118" s="84"/>
    </row>
    <row r="119" spans="7:29" s="4" customFormat="1" ht="11.25">
      <c r="G119" s="12"/>
      <c r="AB119" s="43"/>
      <c r="AC119" s="84"/>
    </row>
    <row r="120" spans="7:29" s="4" customFormat="1" ht="11.25">
      <c r="G120" s="12"/>
      <c r="AB120" s="43"/>
      <c r="AC120" s="84"/>
    </row>
    <row r="121" spans="7:29" s="4" customFormat="1" ht="11.25">
      <c r="G121" s="12"/>
      <c r="AB121" s="43"/>
      <c r="AC121" s="84"/>
    </row>
    <row r="122" spans="7:29" s="4" customFormat="1" ht="11.25">
      <c r="G122" s="12"/>
      <c r="AB122" s="43"/>
      <c r="AC122" s="84"/>
    </row>
  </sheetData>
  <sheetProtection/>
  <mergeCells count="4">
    <mergeCell ref="B65:H65"/>
    <mergeCell ref="B86:H86"/>
    <mergeCell ref="B93:H93"/>
    <mergeCell ref="B95:H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7" r:id="rId2"/>
  <headerFooter>
    <oddFooter>&amp;CPage &amp;P of &amp;N</oddFooter>
  </headerFooter>
  <ignoredErrors>
    <ignoredError sqref="F4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D35" sqref="D35:E41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8.16015625" style="0" customWidth="1"/>
    <col min="5" max="5" width="22.83203125" style="0" customWidth="1"/>
  </cols>
  <sheetData>
    <row r="3" spans="2:4" ht="11.25">
      <c r="B3" s="88" t="s">
        <v>162</v>
      </c>
      <c r="C3" s="87"/>
      <c r="D3" s="91"/>
    </row>
    <row r="4" spans="2:4" ht="11.25">
      <c r="B4" s="88" t="s">
        <v>148</v>
      </c>
      <c r="C4" s="88" t="s">
        <v>149</v>
      </c>
      <c r="D4" s="91" t="s">
        <v>161</v>
      </c>
    </row>
    <row r="5" spans="2:4" ht="11.25">
      <c r="B5" s="86" t="s">
        <v>157</v>
      </c>
      <c r="C5" s="87"/>
      <c r="D5" s="92">
        <v>650316.7999999999</v>
      </c>
    </row>
    <row r="6" spans="2:4" ht="11.25">
      <c r="B6" s="86" t="s">
        <v>158</v>
      </c>
      <c r="C6" s="87"/>
      <c r="D6" s="92">
        <v>1424039.0809219198</v>
      </c>
    </row>
    <row r="7" spans="2:4" ht="11.25">
      <c r="B7" s="86" t="s">
        <v>155</v>
      </c>
      <c r="C7" s="87"/>
      <c r="D7" s="92">
        <v>539904</v>
      </c>
    </row>
    <row r="8" spans="2:4" ht="11.25">
      <c r="B8" s="86" t="s">
        <v>151</v>
      </c>
      <c r="C8" s="87"/>
      <c r="D8" s="92">
        <v>1222092.2301</v>
      </c>
    </row>
    <row r="9" spans="2:4" ht="11.25">
      <c r="B9" s="86" t="s">
        <v>154</v>
      </c>
      <c r="C9" s="87"/>
      <c r="D9" s="92">
        <v>234165</v>
      </c>
    </row>
    <row r="10" spans="2:4" ht="11.25">
      <c r="B10" s="86" t="s">
        <v>152</v>
      </c>
      <c r="C10" s="87"/>
      <c r="D10" s="92">
        <v>311670.28523519996</v>
      </c>
    </row>
    <row r="11" spans="2:4" ht="11.25">
      <c r="B11" s="86" t="s">
        <v>153</v>
      </c>
      <c r="C11" s="87"/>
      <c r="D11" s="92">
        <v>293451.33800399996</v>
      </c>
    </row>
    <row r="12" spans="2:4" ht="11.25">
      <c r="B12" s="86" t="s">
        <v>156</v>
      </c>
      <c r="C12" s="87"/>
      <c r="D12" s="92">
        <v>73329.3728</v>
      </c>
    </row>
    <row r="13" spans="2:4" ht="11.25">
      <c r="B13" s="86" t="s">
        <v>150</v>
      </c>
      <c r="C13" s="87"/>
      <c r="D13" s="92">
        <v>103645.32</v>
      </c>
    </row>
    <row r="14" spans="2:4" ht="11.25">
      <c r="B14" s="86" t="s">
        <v>159</v>
      </c>
      <c r="C14" s="87"/>
      <c r="D14" s="92">
        <v>0</v>
      </c>
    </row>
    <row r="15" spans="2:4" ht="11.25">
      <c r="B15" s="89" t="s">
        <v>160</v>
      </c>
      <c r="C15" s="90"/>
      <c r="D15" s="93">
        <v>4852613.42706112</v>
      </c>
    </row>
    <row r="18" spans="2:5" ht="11.25">
      <c r="B18" s="94" t="s">
        <v>162</v>
      </c>
      <c r="C18" s="95"/>
      <c r="D18" s="95"/>
      <c r="E18" s="96"/>
    </row>
    <row r="19" spans="2:5" ht="11.25">
      <c r="B19" s="97"/>
      <c r="C19" s="98" t="s">
        <v>163</v>
      </c>
      <c r="D19" s="99"/>
      <c r="E19" s="98" t="s">
        <v>163</v>
      </c>
    </row>
    <row r="20" spans="2:5" ht="11.25">
      <c r="B20" s="100" t="s">
        <v>148</v>
      </c>
      <c r="C20" s="100" t="s">
        <v>164</v>
      </c>
      <c r="D20" s="101" t="s">
        <v>161</v>
      </c>
      <c r="E20" s="100" t="s">
        <v>165</v>
      </c>
    </row>
    <row r="21" spans="2:5" ht="11.25">
      <c r="B21" s="102" t="s">
        <v>157</v>
      </c>
      <c r="C21" s="102"/>
      <c r="D21" s="103">
        <f>GETPIVOTDATA("labour cost",$B$3,"type of labour","Camp  Op &amp; Maintenance")</f>
        <v>650316.7999999999</v>
      </c>
      <c r="E21" s="104">
        <f aca="true" t="shared" si="0" ref="E21:E29">D21/$D$30</f>
        <v>0.13401372472273157</v>
      </c>
    </row>
    <row r="22" spans="2:5" ht="11.25">
      <c r="B22" s="102" t="s">
        <v>158</v>
      </c>
      <c r="C22" s="102"/>
      <c r="D22" s="103">
        <f>GETPIVOTDATA("labour cost",$B$3,"type of labour","Engineering")</f>
        <v>1424039.0809219198</v>
      </c>
      <c r="E22" s="104">
        <f t="shared" si="0"/>
        <v>0.29345817513107736</v>
      </c>
    </row>
    <row r="23" spans="2:5" ht="11.25">
      <c r="B23" s="102" t="s">
        <v>155</v>
      </c>
      <c r="C23" s="102"/>
      <c r="D23" s="103">
        <f>GETPIVOTDATA("labour cost",$B$3,"type of labour","Equip Maintenance")</f>
        <v>539904</v>
      </c>
      <c r="E23" s="104">
        <f t="shared" si="0"/>
        <v>0.11126045956786242</v>
      </c>
    </row>
    <row r="24" spans="2:5" ht="11.25">
      <c r="B24" s="102" t="s">
        <v>151</v>
      </c>
      <c r="C24" s="102"/>
      <c r="D24" s="103">
        <f>GETPIVOTDATA("labour cost",$B$3,"type of labour","Equip Op")</f>
        <v>1222092.2301</v>
      </c>
      <c r="E24" s="104">
        <f t="shared" si="0"/>
        <v>0.25184207406361103</v>
      </c>
    </row>
    <row r="25" spans="2:5" ht="11.25">
      <c r="B25" s="102" t="s">
        <v>154</v>
      </c>
      <c r="C25" s="102"/>
      <c r="D25" s="103">
        <f>GETPIVOTDATA("labour cost",$B$3,"type of labour","Equip Op / Equip Maintenance")</f>
        <v>234165</v>
      </c>
      <c r="E25" s="104">
        <f t="shared" si="0"/>
        <v>0.04825544080930777</v>
      </c>
    </row>
    <row r="26" spans="2:5" ht="11.25">
      <c r="B26" s="102" t="s">
        <v>152</v>
      </c>
      <c r="C26" s="102"/>
      <c r="D26" s="103">
        <f>GETPIVOTDATA("labour cost",$B$3,"type of labour","Equip Op / Labour")</f>
        <v>311670.28523519996</v>
      </c>
      <c r="E26" s="104">
        <f t="shared" si="0"/>
        <v>0.06422730553749391</v>
      </c>
    </row>
    <row r="27" spans="2:5" ht="11.25">
      <c r="B27" s="102" t="s">
        <v>153</v>
      </c>
      <c r="C27" s="102"/>
      <c r="D27" s="103">
        <f>GETPIVOTDATA("labour cost",$B$3,"type of labour","Equip Op / Welders / Labour")</f>
        <v>293451.33800399996</v>
      </c>
      <c r="E27" s="104">
        <f t="shared" si="0"/>
        <v>0.06047284466706889</v>
      </c>
    </row>
    <row r="28" spans="2:5" ht="11.25">
      <c r="B28" s="102" t="s">
        <v>156</v>
      </c>
      <c r="C28" s="102"/>
      <c r="D28" s="103">
        <f>GETPIVOTDATA("labour cost",$B$3,"type of labour","Labour")</f>
        <v>73329.3728</v>
      </c>
      <c r="E28" s="104">
        <f t="shared" si="0"/>
        <v>0.01511131556267616</v>
      </c>
    </row>
    <row r="29" spans="2:5" ht="11.25">
      <c r="B29" s="102" t="s">
        <v>150</v>
      </c>
      <c r="C29" s="102"/>
      <c r="D29" s="103">
        <f>GETPIVOTDATA("labour cost",$B$3,"type of labour","Truck Driver")</f>
        <v>103645.32</v>
      </c>
      <c r="E29" s="105">
        <f t="shared" si="0"/>
        <v>0.02135865993817079</v>
      </c>
    </row>
    <row r="30" spans="2:5" ht="11.25">
      <c r="B30" s="94" t="s">
        <v>160</v>
      </c>
      <c r="C30" s="106"/>
      <c r="D30" s="107">
        <f>SUM(D21:D29)</f>
        <v>4852613.42706112</v>
      </c>
      <c r="E30" s="108">
        <f>SUM(E21:E29)</f>
        <v>1</v>
      </c>
    </row>
    <row r="31" ht="11.25">
      <c r="D31" s="109"/>
    </row>
    <row r="32" ht="11.25">
      <c r="D32" s="109"/>
    </row>
    <row r="33" spans="2:5" ht="11.25">
      <c r="B33" s="94" t="s">
        <v>162</v>
      </c>
      <c r="C33" s="95"/>
      <c r="D33" s="110"/>
      <c r="E33" s="96"/>
    </row>
    <row r="34" spans="2:5" ht="11.25">
      <c r="B34" s="111" t="str">
        <f>B20</f>
        <v>type of labour</v>
      </c>
      <c r="C34" s="95"/>
      <c r="D34" s="112" t="str">
        <f>D20</f>
        <v>Total</v>
      </c>
      <c r="E34" s="113" t="s">
        <v>166</v>
      </c>
    </row>
    <row r="35" spans="2:5" ht="11.25">
      <c r="B35" s="102" t="s">
        <v>151</v>
      </c>
      <c r="C35" s="114"/>
      <c r="D35" s="103">
        <f>D24+(D25*0.6)+(D26*0.5)+(D27*0.4)</f>
        <v>1635806.9079192001</v>
      </c>
      <c r="E35" s="115">
        <f aca="true" t="shared" si="1" ref="E35:E40">D35/$D$41</f>
        <v>0.3370981291847702</v>
      </c>
    </row>
    <row r="36" spans="2:5" ht="11.25">
      <c r="B36" s="102" t="s">
        <v>156</v>
      </c>
      <c r="C36" s="114"/>
      <c r="D36" s="103">
        <f>D28+(D26*0.5)+(D27*0.6)</f>
        <v>405235.31821999996</v>
      </c>
      <c r="E36" s="115">
        <f t="shared" si="1"/>
        <v>0.08350867513166445</v>
      </c>
    </row>
    <row r="37" spans="2:5" ht="11.25">
      <c r="B37" s="102" t="s">
        <v>150</v>
      </c>
      <c r="C37" s="114"/>
      <c r="D37" s="103">
        <f>D29</f>
        <v>103645.32</v>
      </c>
      <c r="E37" s="115">
        <f t="shared" si="1"/>
        <v>0.02135865993817079</v>
      </c>
    </row>
    <row r="38" spans="2:5" ht="11.25">
      <c r="B38" s="102" t="s">
        <v>155</v>
      </c>
      <c r="C38" s="114"/>
      <c r="D38" s="103">
        <f>D23+(D25*0.4)</f>
        <v>633570</v>
      </c>
      <c r="E38" s="115">
        <f t="shared" si="1"/>
        <v>0.1305626358915855</v>
      </c>
    </row>
    <row r="39" spans="2:5" ht="11.25">
      <c r="B39" s="102" t="s">
        <v>167</v>
      </c>
      <c r="C39" s="114"/>
      <c r="D39" s="103">
        <f>D21</f>
        <v>650316.7999999999</v>
      </c>
      <c r="E39" s="115">
        <f t="shared" si="1"/>
        <v>0.13401372472273157</v>
      </c>
    </row>
    <row r="40" spans="2:5" ht="11.25">
      <c r="B40" s="102" t="s">
        <v>158</v>
      </c>
      <c r="C40" s="114"/>
      <c r="D40" s="103">
        <f>D22</f>
        <v>1424039.0809219198</v>
      </c>
      <c r="E40" s="115">
        <f t="shared" si="1"/>
        <v>0.29345817513107736</v>
      </c>
    </row>
    <row r="41" spans="2:5" ht="11.25">
      <c r="B41" s="106" t="s">
        <v>161</v>
      </c>
      <c r="C41" s="116"/>
      <c r="D41" s="117">
        <f>SUM(D35:D40)</f>
        <v>4852613.42706112</v>
      </c>
      <c r="E41" s="118">
        <f>SUM(E35:E40)</f>
        <v>0.9999999999999998</v>
      </c>
    </row>
    <row r="43" ht="11.25">
      <c r="B43" s="119" t="s">
        <v>168</v>
      </c>
    </row>
  </sheetData>
  <sheetProtection/>
  <dataValidations count="1">
    <dataValidation type="list" allowBlank="1" showInputMessage="1" showErrorMessage="1" sqref="B21">
      <formula1>$B$21:$B$29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2014-03-25T00:31:58Z</cp:lastPrinted>
  <dcterms:created xsi:type="dcterms:W3CDTF">1998-12-07T19:56:09Z</dcterms:created>
  <dcterms:modified xsi:type="dcterms:W3CDTF">2014-03-28T18:25:48Z</dcterms:modified>
  <cp:category/>
  <cp:version/>
  <cp:contentType/>
  <cp:contentStatus/>
</cp:coreProperties>
</file>