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80" windowHeight="12270" tabRatio="522" activeTab="1"/>
  </bookViews>
  <sheets>
    <sheet name="Summary" sheetId="1" r:id="rId1"/>
    <sheet name="Detail Costs" sheetId="2" r:id="rId2"/>
    <sheet name="Pivot Table" sheetId="3" r:id="rId3"/>
  </sheets>
  <externalReferences>
    <externalReference r:id="rId7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AREA">#REF!</definedName>
    <definedName name="Area_Precast_Section">#REF!</definedName>
    <definedName name="CLIENTS">'[1]PICK LISTS'!$B$22:$B$25</definedName>
    <definedName name="CONTRACT">#REF!</definedName>
    <definedName name="ESTIMATE">#REF!</definedName>
    <definedName name="Length_Precast_Unit">#REF!</definedName>
    <definedName name="_xlnm.Print_Area" localSheetId="1">'Detail Costs'!$B$3:$V$96</definedName>
    <definedName name="_xlnm.Print_Titles" localSheetId="1">'Detail Costs'!$1:$10</definedName>
    <definedName name="TITLES">#REF!</definedName>
    <definedName name="Unit_Price_Precast_Unit">#REF!</definedName>
    <definedName name="Volume_Precast_Unit">#REF!</definedName>
    <definedName name="WAGEPROD">#REF!</definedName>
    <definedName name="Zone_impres_MI" localSheetId="0">#REF!</definedName>
    <definedName name="Zone_impres_MI">#REF!</definedName>
  </definedNames>
  <calcPr fullCalcOnLoad="1"/>
  <pivotCaches>
    <pivotCache cacheId="1" r:id="rId4"/>
  </pivotCaches>
</workbook>
</file>

<file path=xl/sharedStrings.xml><?xml version="1.0" encoding="utf-8"?>
<sst xmlns="http://schemas.openxmlformats.org/spreadsheetml/2006/main" count="244" uniqueCount="172">
  <si>
    <t>Mhr/Unit</t>
  </si>
  <si>
    <t>Unit</t>
  </si>
  <si>
    <t>Description</t>
  </si>
  <si>
    <t>Qty</t>
  </si>
  <si>
    <t>Remarks</t>
  </si>
  <si>
    <t>Other/Unit ($)</t>
  </si>
  <si>
    <t>Total ($)</t>
  </si>
  <si>
    <t>CLIENT:</t>
  </si>
  <si>
    <t>PROJECT TITLE:</t>
  </si>
  <si>
    <t>DATE:</t>
  </si>
  <si>
    <t>AUTHOR:</t>
  </si>
  <si>
    <t>MTO No.:</t>
  </si>
  <si>
    <t>PROJECT No.:</t>
  </si>
  <si>
    <t>REVISION:</t>
  </si>
  <si>
    <t>Sub Area</t>
  </si>
  <si>
    <t>CONTINGENCY</t>
  </si>
  <si>
    <t>Mhr Total</t>
  </si>
  <si>
    <t>Material/Unit ($)</t>
  </si>
  <si>
    <t>Mhr Cost ($)</t>
  </si>
  <si>
    <t>Material Total ($)</t>
  </si>
  <si>
    <t>Other Total ($)</t>
  </si>
  <si>
    <t>Contingency %</t>
  </si>
  <si>
    <t>Contingency ($)</t>
  </si>
  <si>
    <t>Allowance ($)</t>
  </si>
  <si>
    <t>Allowance %</t>
  </si>
  <si>
    <t>ACCURACY:</t>
  </si>
  <si>
    <t>DESCRIPTION</t>
  </si>
  <si>
    <t>REFERENCE</t>
  </si>
  <si>
    <t>TOTAL COSTS</t>
  </si>
  <si>
    <t>TOTAL COST</t>
  </si>
  <si>
    <t>DIRECT CONSTRUCTION COSTS (see detail sheet for breakdown)</t>
  </si>
  <si>
    <t>INDIRECT COSTS (see detail sheet for breakdown)</t>
  </si>
  <si>
    <t>OWNERS COSTS</t>
  </si>
  <si>
    <t>EPCM COSTS</t>
  </si>
  <si>
    <t>SUB TOTAL COSTS</t>
  </si>
  <si>
    <t>Sub Total ($)</t>
  </si>
  <si>
    <t>ESCALATION</t>
  </si>
  <si>
    <t>DIRECT COST SUB TOTAL</t>
  </si>
  <si>
    <t>DIRECT COSTS</t>
  </si>
  <si>
    <t>INDIRECT COST SUB TOTAL</t>
  </si>
  <si>
    <t>OTHER COSTS</t>
  </si>
  <si>
    <t>OTHER COST SUB TOTAL</t>
  </si>
  <si>
    <t>EPCM</t>
  </si>
  <si>
    <t>Area / WBS</t>
  </si>
  <si>
    <t>TOTAL</t>
  </si>
  <si>
    <t>INDIRECT COSTS</t>
  </si>
  <si>
    <t xml:space="preserve">TEMPORARY FACILITIES AND CONSTRUCTION SITE SERVICES </t>
  </si>
  <si>
    <t xml:space="preserve">OVERTIME PREMIUM FOR COMPRESSED WORK WEEK </t>
  </si>
  <si>
    <t xml:space="preserve">NON-PRODUCTIVE TIME </t>
  </si>
  <si>
    <t xml:space="preserve">SPOT OVERTIME </t>
  </si>
  <si>
    <t xml:space="preserve">CONTRACTOR LOA AND TRAVEL </t>
  </si>
  <si>
    <t xml:space="preserve">HEAVY LIFT </t>
  </si>
  <si>
    <t xml:space="preserve">TRANSPORTATION AND FREIGHT </t>
  </si>
  <si>
    <t xml:space="preserve">CAPITAL SPARE PARTS </t>
  </si>
  <si>
    <t xml:space="preserve">VENDOR ERECTION SUPERVISION </t>
  </si>
  <si>
    <t xml:space="preserve">FIRST FILLS </t>
  </si>
  <si>
    <t xml:space="preserve">ENVIRONMENTAL ASSESSMENT, MONITORING AND TESTING SERVICES </t>
  </si>
  <si>
    <t xml:space="preserve">CONSTRUCTION INSURANCE </t>
  </si>
  <si>
    <t xml:space="preserve">BUILDING PERMITS </t>
  </si>
  <si>
    <t>ESTIMATE - DIRECT/INDIRECT/OTHER CONSTRUCTION COSTS DETAIL</t>
  </si>
  <si>
    <t>ESTIMATE - SUMMARY</t>
  </si>
  <si>
    <t>TEMPORARY CONSTRUCTION CAMP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</si>
  <si>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</si>
  <si>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GEOTECHNICAL INVESTIGATIONS AND RECOMMENDATIONS </t>
  </si>
  <si>
    <t>307071-00895</t>
  </si>
  <si>
    <t xml:space="preserve"> +/-50%</t>
  </si>
  <si>
    <t>MW</t>
  </si>
  <si>
    <t>LS</t>
  </si>
  <si>
    <t>SNOW REMOVAL</t>
  </si>
  <si>
    <t>MDY</t>
  </si>
  <si>
    <t>Equipment Mob / Demob</t>
  </si>
  <si>
    <t>Support Equipment</t>
  </si>
  <si>
    <t>Support Labour</t>
  </si>
  <si>
    <t>Labourer</t>
  </si>
  <si>
    <t>Welder</t>
  </si>
  <si>
    <t>MO</t>
  </si>
  <si>
    <t>Generator</t>
  </si>
  <si>
    <t>DY</t>
  </si>
  <si>
    <t>Transport from Dawson City to site (approx 110km one-way).</t>
  </si>
  <si>
    <t>Fuel Transportation</t>
  </si>
  <si>
    <t>27,000 liter tanker</t>
  </si>
  <si>
    <t>Major Road Improvements</t>
  </si>
  <si>
    <t>15km</t>
  </si>
  <si>
    <t>HA</t>
  </si>
  <si>
    <t>M3</t>
  </si>
  <si>
    <t>Medium</t>
  </si>
  <si>
    <t>Clear &amp; grub</t>
  </si>
  <si>
    <t>Re-grade road sub-base</t>
  </si>
  <si>
    <t>Road embankment widening, 3m</t>
  </si>
  <si>
    <t>Drill &amp; blast, crushing, load &amp; haul and place.</t>
  </si>
  <si>
    <t>Cut to fill existing shoulder. Approx 8M3 / LM.</t>
  </si>
  <si>
    <t>Gravel resurfacing, 100mm thk x 8m wide</t>
  </si>
  <si>
    <t>Av. 150mm dp x 5m wide</t>
  </si>
  <si>
    <t>Round Trip</t>
  </si>
  <si>
    <t>6ea</t>
  </si>
  <si>
    <t>1ea on-site</t>
  </si>
  <si>
    <t>liters</t>
  </si>
  <si>
    <t>2ea/shift</t>
  </si>
  <si>
    <t>1ea/shift</t>
  </si>
  <si>
    <t>Grader &amp; dozer for winter months, 12hrs/day x 7days.</t>
  </si>
  <si>
    <t>Edm to Dawson City charter flight + DC to Site by charter bus.  1 flight/man every two weeks.</t>
  </si>
  <si>
    <t>Equip Set 1</t>
  </si>
  <si>
    <t>Subcontract Costs/Unit ($)</t>
  </si>
  <si>
    <t>Subcontract Total ($)</t>
  </si>
  <si>
    <t>n/a</t>
  </si>
  <si>
    <t xml:space="preserve"> *fuel included in all-in rates.</t>
  </si>
  <si>
    <t>Edmonton to Dawson City 2,519km. Dawson City to Site approx 110km. 1ea D9 dozer , 1ea grader, 1ea 70ton excavator, 1ea wheel loader, 8ea 50ton rock truck, 1ea packer. Second Season Remob: 2ea PC2000, 5ea 777, 1ea D9.</t>
  </si>
  <si>
    <t>Bulk Earthworks</t>
  </si>
  <si>
    <t>EA</t>
  </si>
  <si>
    <t>LM</t>
  </si>
  <si>
    <t>Siphon</t>
  </si>
  <si>
    <t>Air pump</t>
  </si>
  <si>
    <t>supply</t>
  </si>
  <si>
    <t>First Location:</t>
  </si>
  <si>
    <t>Supply &amp; install.</t>
  </si>
  <si>
    <t>Lock blocks</t>
  </si>
  <si>
    <t>610mm HDPE DR21 pipe</t>
  </si>
  <si>
    <t>Supply &amp; place.</t>
  </si>
  <si>
    <t>Cut into 150m lengths, relocate 500m.</t>
  </si>
  <si>
    <t xml:space="preserve">Relocate </t>
  </si>
  <si>
    <t>Re-weld joints</t>
  </si>
  <si>
    <t>Cut &amp; move 900m of pipe</t>
  </si>
  <si>
    <t>Relocate:</t>
  </si>
  <si>
    <t>HDPE pipe &amp; lock blocks.</t>
  </si>
  <si>
    <t>ROAD MAINTENANCE</t>
  </si>
  <si>
    <t>1ea Grader 12hrs/day</t>
  </si>
  <si>
    <t>15m clear span x 11m w. Supply &amp; install.</t>
  </si>
  <si>
    <t>Bridge construction</t>
  </si>
  <si>
    <t>LD</t>
  </si>
  <si>
    <t>Access Road Construction</t>
  </si>
  <si>
    <t>Gravel resurfacing, 300mm thk x 6m wide</t>
  </si>
  <si>
    <t>Shop truck</t>
  </si>
  <si>
    <t>1ea</t>
  </si>
  <si>
    <t>Temp maintenance shop</t>
  </si>
  <si>
    <t>Shop trailer</t>
  </si>
  <si>
    <t>Fuel bowser</t>
  </si>
  <si>
    <t>Pick-up trucks</t>
  </si>
  <si>
    <t>Portable light towers</t>
  </si>
  <si>
    <t xml:space="preserve"> *During Road Improvements, Quarry Development &amp; Creek Stabiliztion Work.</t>
  </si>
  <si>
    <t>Fuel truck &amp; driver</t>
  </si>
  <si>
    <t>Heavy duty mechanic</t>
  </si>
  <si>
    <t>Existing channel to porupine pit</t>
  </si>
  <si>
    <t>Waste dump to porupine pit</t>
  </si>
  <si>
    <t>av 50men camp x 3.75mo.</t>
  </si>
  <si>
    <t>Asbestos Control</t>
  </si>
  <si>
    <t>Equipment washdown facilites</t>
  </si>
  <si>
    <t>1ea - 80'x120' temprorary building , 300mm SOG, 4ea - 4.5 GPM pressure washers w/ 600Gal tanks, 4man hours / day.</t>
  </si>
  <si>
    <t>Equipment / vehicle heppa filters,</t>
  </si>
  <si>
    <t xml:space="preserve"> PPE; respirators, overalls</t>
  </si>
  <si>
    <t>type of labour</t>
  </si>
  <si>
    <t>% labour</t>
  </si>
  <si>
    <t>Truck Driver</t>
  </si>
  <si>
    <t>Equip Op</t>
  </si>
  <si>
    <t>Equip Op / Labour</t>
  </si>
  <si>
    <t>Equip Op / Welders / Labour</t>
  </si>
  <si>
    <t>Equip Op / Equip Maintenance</t>
  </si>
  <si>
    <t>Equip Maintenance</t>
  </si>
  <si>
    <t>Labour</t>
  </si>
  <si>
    <t>Camp  Op &amp; Maintenance</t>
  </si>
  <si>
    <t>Engineering</t>
  </si>
  <si>
    <t>(blank)</t>
  </si>
  <si>
    <t>Grand Total</t>
  </si>
  <si>
    <t>Total</t>
  </si>
  <si>
    <t>Sum of labour cost</t>
  </si>
  <si>
    <t>% labour of</t>
  </si>
  <si>
    <t>all-in rate</t>
  </si>
  <si>
    <t>total labour</t>
  </si>
  <si>
    <t>labour % of total labour cost</t>
  </si>
  <si>
    <t>Camp Op &amp; Maintenance</t>
  </si>
  <si>
    <t xml:space="preserve"> * Contingency not included.</t>
  </si>
  <si>
    <t>Assessment and Abandoned Mines</t>
  </si>
  <si>
    <t>Clinton Creek Site LCCA - Option CC-E</t>
  </si>
</sst>
</file>

<file path=xl/styles.xml><?xml version="1.0" encoding="utf-8"?>
<styleSheet xmlns="http://schemas.openxmlformats.org/spreadsheetml/2006/main">
  <numFmts count="5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_);\(&quot;$&quot;#,##0.00\)"/>
    <numFmt numFmtId="165" formatCode="_(* #,##0.00_);_(* \(#,##0.00\);_(* &quot;-&quot;??_);_(@_)"/>
    <numFmt numFmtId="166" formatCode="General_)"/>
    <numFmt numFmtId="167" formatCode="#.00"/>
    <numFmt numFmtId="168" formatCode="#,##0."/>
    <numFmt numFmtId="169" formatCode="&quot;$&quot;#."/>
    <numFmt numFmtId="170" formatCode="0.0"/>
    <numFmt numFmtId="171" formatCode="_(* #,##0_);_(* \(#,##0\);_(* &quot;-&quot;??_);_(@_)"/>
    <numFmt numFmtId="172" formatCode="0.000"/>
    <numFmt numFmtId="173" formatCode="&quot;$&quot;#,##0"/>
    <numFmt numFmtId="174" formatCode="0.0%"/>
    <numFmt numFmtId="175" formatCode="0.00000%"/>
    <numFmt numFmtId="176" formatCode="&quot;$&quot;#,##0.00_);[Red]\(&quot;$&quot;#,##0.00\)"/>
    <numFmt numFmtId="177" formatCode="&quot;$&quot;#,##0_);[Red]\(&quot;$&quot;#,##0\)"/>
    <numFmt numFmtId="178" formatCode="0_)"/>
    <numFmt numFmtId="179" formatCode="0.0_)"/>
    <numFmt numFmtId="180" formatCode="#,##0.000"/>
    <numFmt numFmtId="181" formatCode="_-&quot;$&quot;* #,##0.000_-;\-&quot;$&quot;* #,##0.000_-;_-&quot;$&quot;* &quot;-&quot;???_-;_-@_-"/>
    <numFmt numFmtId="182" formatCode="_-* #,##0.000_-;\-* #,##0.000_-;_-* &quot;-&quot;???_-;_-@_-"/>
    <numFmt numFmtId="183" formatCode="_-&quot;$&quot;* #,##0.000_-;\-&quot;$&quot;* #,##0.000_-;_-&quot;$&quot;* &quot;-&quot;??_-;_-@_-"/>
    <numFmt numFmtId="184" formatCode="_-&quot;$&quot;* #,##0.0_-;\-&quot;$&quot;* #,##0.0_-;_-&quot;$&quot;* &quot;-&quot;??_-;_-@_-"/>
    <numFmt numFmtId="185" formatCode="_-&quot;$&quot;* #,##0_-;\-&quot;$&quot;* #,##0_-;_-&quot;$&quot;* &quot;-&quot;??_-;_-@_-"/>
    <numFmt numFmtId="186" formatCode="#,##0.0000"/>
    <numFmt numFmtId="187" formatCode="#,##0.0"/>
    <numFmt numFmtId="188" formatCode="_(* #,##0.000_);_(* \(#,##0.000\);_(* &quot;-&quot;??_);_(@_)"/>
    <numFmt numFmtId="189" formatCode="_(* #,##0.0_);_(* \(#,##0.0\);_(* &quot;-&quot;??_);_(@_)"/>
    <numFmt numFmtId="190" formatCode="_(&quot;$&quot;* #,##0_);_(&quot;$&quot;* \(#,##0\);_(&quot;$&quot;* &quot;-&quot;??_);_(@_)"/>
    <numFmt numFmtId="191" formatCode="_-&quot;$&quot;* #,##0.0000_-;\-&quot;$&quot;* #,##0.0000_-;_-&quot;$&quot;* &quot;-&quot;??_-;_-@_-"/>
    <numFmt numFmtId="192" formatCode="_-&quot;$&quot;* #,##0.0000_-;\-&quot;$&quot;* #,##0.0000_-;_-&quot;$&quot;* &quot;-&quot;????_-;_-@_-"/>
    <numFmt numFmtId="193" formatCode="_-&quot;$&quot;* #,##0.0_-;\-&quot;$&quot;* #,##0.0_-;_-&quot;$&quot;* &quot;-&quot;?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0"/>
    <numFmt numFmtId="199" formatCode="&quot;$&quot;#,##0.00"/>
    <numFmt numFmtId="200" formatCode="_ * #,##0.00_)\ &quot;$&quot;_ ;_ * \(#,##0.00\)\ &quot;$&quot;_ ;_ * &quot;-&quot;??_)\ &quot;$&quot;_ ;_ @_ "/>
    <numFmt numFmtId="201" formatCode="_(&quot;$&quot;* #,##0.00_);_(&quot;$&quot;* \(#,##0.00\);_(&quot;$&quot;* &quot;-&quot;??_);_(@_)"/>
    <numFmt numFmtId="202" formatCode="[$-1009]mmmm\-dd\-yy"/>
    <numFmt numFmtId="203" formatCode="[$-409]h:mm:ss\ AM/PM"/>
    <numFmt numFmtId="204" formatCode="[$-1009]d\-mmm\-yy;@"/>
    <numFmt numFmtId="205" formatCode="_-* #,##0.0_-;\-* #,##0.0_-;_-* &quot;-&quot;?_-;_-@_-"/>
    <numFmt numFmtId="206" formatCode="_ * #,##0.00_)\ _$_ ;_ * \(#,##0.00\)\ _$_ ;_ * &quot;-&quot;??_)\ _$_ ;_ @_ "/>
    <numFmt numFmtId="207" formatCode="_([$€-2]* #,##0.00_);_([$€-2]* \(#,##0.00\);_([$€-2]* &quot;-&quot;??_)"/>
    <numFmt numFmtId="208" formatCode="_-* #,##0.0_-;\-* #,##0.0_-;_-* &quot;-&quot;??_-;_-@_-"/>
    <numFmt numFmtId="209" formatCode="_-* #,##0_-;\-* #,##0_-;_-* &quot;-&quot;??_-;_-@_-"/>
  </numFmts>
  <fonts count="58">
    <font>
      <sz val="8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1"/>
      <color indexed="8"/>
      <name val="Courier"/>
      <family val="3"/>
    </font>
    <font>
      <u val="single"/>
      <sz val="6.4"/>
      <color indexed="12"/>
      <name val="Arial"/>
      <family val="2"/>
    </font>
    <font>
      <sz val="10"/>
      <name val="LinePrinter"/>
      <family val="0"/>
    </font>
    <font>
      <b/>
      <u val="single"/>
      <sz val="10"/>
      <name val="Arial"/>
      <family val="2"/>
    </font>
    <font>
      <b/>
      <sz val="10"/>
      <color indexed="9"/>
      <name val="Arial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u val="single"/>
      <sz val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6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i/>
      <sz val="10"/>
      <color indexed="23"/>
      <name val="Arial"/>
      <family val="2"/>
    </font>
    <font>
      <u val="single"/>
      <sz val="6"/>
      <color indexed="20"/>
      <name val="Arial"/>
      <family val="2"/>
    </font>
    <font>
      <sz val="10"/>
      <color indexed="17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6"/>
      <color theme="11"/>
      <name val="Arial"/>
      <family val="2"/>
    </font>
    <font>
      <sz val="10"/>
      <color rgb="FF006100"/>
      <name val="Arial"/>
      <family val="2"/>
    </font>
    <font>
      <b/>
      <sz val="13"/>
      <color theme="3"/>
      <name val="Calibri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1"/>
      <color rgb="FF3F3F76"/>
      <name val="Calibri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rgb="FF3F3F3F"/>
      <name val="Calibri"/>
      <family val="2"/>
    </font>
    <font>
      <sz val="10"/>
      <color rgb="FFFF0000"/>
      <name val="Arial"/>
      <family val="2"/>
    </font>
  </fonts>
  <fills count="4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double"/>
      <bottom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1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12" fillId="6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4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34" borderId="0" applyNumberFormat="0" applyBorder="0" applyAlignment="0" applyProtection="0"/>
    <xf numFmtId="0" fontId="13" fillId="0" borderId="0" applyNumberFormat="0" applyFill="0" applyBorder="0" applyAlignment="0" applyProtection="0"/>
    <xf numFmtId="0" fontId="41" fillId="35" borderId="0" applyNumberFormat="0" applyBorder="0" applyAlignment="0" applyProtection="0"/>
    <xf numFmtId="0" fontId="14" fillId="36" borderId="1" applyNumberFormat="0" applyAlignment="0" applyProtection="0"/>
    <xf numFmtId="0" fontId="42" fillId="37" borderId="2" applyNumberFormat="0" applyAlignment="0" applyProtection="0"/>
    <xf numFmtId="0" fontId="13" fillId="0" borderId="3" applyNumberFormat="0" applyFill="0" applyAlignment="0" applyProtection="0"/>
    <xf numFmtId="0" fontId="43" fillId="38" borderId="4" applyNumberFormat="0" applyAlignment="0" applyProtection="0"/>
    <xf numFmtId="165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206" fontId="3" fillId="0" borderId="0" applyFont="0" applyFill="0" applyBorder="0" applyAlignment="0" applyProtection="0"/>
    <xf numFmtId="168" fontId="4" fillId="0" borderId="0">
      <alignment/>
      <protection locked="0"/>
    </xf>
    <xf numFmtId="0" fontId="3" fillId="4" borderId="5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1" fontId="3" fillId="0" borderId="0" applyFont="0" applyFill="0" applyBorder="0" applyAlignment="0" applyProtection="0"/>
    <xf numFmtId="169" fontId="4" fillId="0" borderId="0">
      <alignment/>
      <protection locked="0"/>
    </xf>
    <xf numFmtId="0" fontId="4" fillId="0" borderId="0">
      <alignment/>
      <protection locked="0"/>
    </xf>
    <xf numFmtId="0" fontId="15" fillId="13" borderId="1" applyNumberFormat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0" fontId="44" fillId="0" borderId="0" applyNumberFormat="0" applyFill="0" applyBorder="0" applyAlignment="0" applyProtection="0"/>
    <xf numFmtId="167" fontId="4" fillId="0" borderId="0">
      <alignment/>
      <protection locked="0"/>
    </xf>
    <xf numFmtId="0" fontId="45" fillId="0" borderId="0" applyNumberFormat="0" applyFill="0" applyBorder="0" applyAlignment="0" applyProtection="0"/>
    <xf numFmtId="0" fontId="46" fillId="39" borderId="0" applyNumberFormat="0" applyBorder="0" applyAlignment="0" applyProtection="0"/>
    <xf numFmtId="0" fontId="4" fillId="0" borderId="0">
      <alignment/>
      <protection locked="0"/>
    </xf>
    <xf numFmtId="0" fontId="4" fillId="0" borderId="0">
      <alignment/>
      <protection locked="0"/>
    </xf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40" borderId="2" applyNumberFormat="0" applyAlignment="0" applyProtection="0"/>
    <xf numFmtId="0" fontId="50" fillId="40" borderId="2" applyNumberFormat="0" applyAlignment="0" applyProtection="0"/>
    <xf numFmtId="0" fontId="16" fillId="41" borderId="0" applyNumberFormat="0" applyBorder="0" applyAlignment="0" applyProtection="0"/>
    <xf numFmtId="0" fontId="51" fillId="0" borderId="8" applyNumberFormat="0" applyFill="0" applyAlignment="0" applyProtection="0"/>
    <xf numFmtId="200" fontId="3" fillId="0" borderId="0" applyFont="0" applyFill="0" applyBorder="0" applyAlignment="0" applyProtection="0"/>
    <xf numFmtId="0" fontId="52" fillId="42" borderId="0" applyNumberFormat="0" applyBorder="0" applyAlignment="0" applyProtection="0"/>
    <xf numFmtId="0" fontId="17" fillId="13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3" fillId="0" borderId="0">
      <alignment/>
      <protection/>
    </xf>
    <xf numFmtId="0" fontId="0" fillId="43" borderId="9" applyNumberFormat="0" applyFont="0" applyAlignment="0" applyProtection="0"/>
    <xf numFmtId="0" fontId="54" fillId="37" borderId="10" applyNumberFormat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8" fillId="6" borderId="0" applyNumberFormat="0" applyBorder="0" applyAlignment="0" applyProtection="0"/>
    <xf numFmtId="0" fontId="19" fillId="36" borderId="11" applyNumberFormat="0" applyAlignment="0" applyProtection="0"/>
    <xf numFmtId="0" fontId="20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0" borderId="12" applyNumberFormat="0" applyFill="0" applyAlignment="0" applyProtection="0"/>
    <xf numFmtId="0" fontId="22" fillId="0" borderId="13" applyNumberFormat="0" applyFill="0" applyAlignment="0" applyProtection="0"/>
    <xf numFmtId="0" fontId="23" fillId="0" borderId="14" applyNumberFormat="0" applyFill="0" applyAlignment="0" applyProtection="0"/>
    <xf numFmtId="0" fontId="23" fillId="0" borderId="0" applyNumberFormat="0" applyFill="0" applyBorder="0" applyAlignment="0" applyProtection="0"/>
    <xf numFmtId="0" fontId="4" fillId="0" borderId="15">
      <alignment/>
      <protection locked="0"/>
    </xf>
    <xf numFmtId="3" fontId="56" fillId="44" borderId="10">
      <alignment horizontal="center"/>
      <protection/>
    </xf>
    <xf numFmtId="0" fontId="24" fillId="45" borderId="16" applyNumberFormat="0" applyAlignment="0" applyProtection="0"/>
    <xf numFmtId="0" fontId="57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0" fillId="0" borderId="17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0" fillId="0" borderId="18" xfId="0" applyFill="1" applyBorder="1" applyAlignment="1">
      <alignment horizontal="left" vertical="center"/>
    </xf>
    <xf numFmtId="0" fontId="0" fillId="0" borderId="19" xfId="0" applyFill="1" applyBorder="1" applyAlignment="1">
      <alignment horizontal="left" vertical="center"/>
    </xf>
    <xf numFmtId="0" fontId="0" fillId="0" borderId="20" xfId="0" applyFill="1" applyBorder="1" applyAlignment="1">
      <alignment vertical="center"/>
    </xf>
    <xf numFmtId="0" fontId="0" fillId="0" borderId="21" xfId="0" applyFill="1" applyBorder="1" applyAlignment="1">
      <alignment horizontal="left" vertical="center"/>
    </xf>
    <xf numFmtId="0" fontId="0" fillId="0" borderId="0" xfId="0" applyFill="1" applyAlignment="1">
      <alignment horizontal="center" vertical="center" wrapText="1"/>
    </xf>
    <xf numFmtId="171" fontId="0" fillId="0" borderId="17" xfId="63" applyNumberFormat="1" applyFont="1" applyFill="1" applyBorder="1" applyAlignment="1">
      <alignment horizontal="left" vertical="center" wrapText="1"/>
    </xf>
    <xf numFmtId="0" fontId="26" fillId="0" borderId="0" xfId="0" applyFont="1" applyFill="1" applyAlignment="1">
      <alignment vertical="center" wrapText="1"/>
    </xf>
    <xf numFmtId="0" fontId="0" fillId="46" borderId="18" xfId="0" applyFill="1" applyBorder="1" applyAlignment="1">
      <alignment vertical="center"/>
    </xf>
    <xf numFmtId="0" fontId="0" fillId="46" borderId="19" xfId="0" applyFill="1" applyBorder="1" applyAlignment="1">
      <alignment vertical="center"/>
    </xf>
    <xf numFmtId="0" fontId="0" fillId="46" borderId="21" xfId="0" applyFill="1" applyBorder="1" applyAlignment="1">
      <alignment vertical="center"/>
    </xf>
    <xf numFmtId="0" fontId="26" fillId="46" borderId="22" xfId="0" applyFont="1" applyFill="1" applyBorder="1" applyAlignment="1">
      <alignment horizontal="right" vertical="center"/>
    </xf>
    <xf numFmtId="0" fontId="26" fillId="46" borderId="23" xfId="0" applyFont="1" applyFill="1" applyBorder="1" applyAlignment="1">
      <alignment horizontal="right" vertical="center"/>
    </xf>
    <xf numFmtId="0" fontId="26" fillId="46" borderId="24" xfId="0" applyFont="1" applyFill="1" applyBorder="1" applyAlignment="1">
      <alignment horizontal="right" vertical="center"/>
    </xf>
    <xf numFmtId="0" fontId="26" fillId="46" borderId="19" xfId="0" applyFont="1" applyFill="1" applyBorder="1" applyAlignment="1">
      <alignment horizontal="right" vertical="center"/>
    </xf>
    <xf numFmtId="0" fontId="26" fillId="46" borderId="17" xfId="0" applyFont="1" applyFill="1" applyBorder="1" applyAlignment="1">
      <alignment horizontal="center" vertical="center" wrapText="1"/>
    </xf>
    <xf numFmtId="4" fontId="8" fillId="0" borderId="0" xfId="63" applyNumberFormat="1" applyFont="1" applyFill="1" applyAlignment="1">
      <alignment horizontal="right" vertical="center" wrapText="1"/>
    </xf>
    <xf numFmtId="0" fontId="26" fillId="46" borderId="17" xfId="0" applyFont="1" applyFill="1" applyBorder="1" applyAlignment="1">
      <alignment horizontal="right" vertical="center"/>
    </xf>
    <xf numFmtId="0" fontId="25" fillId="0" borderId="0" xfId="0" applyFont="1" applyFill="1" applyAlignment="1">
      <alignment vertical="center"/>
    </xf>
    <xf numFmtId="0" fontId="26" fillId="46" borderId="25" xfId="0" applyFont="1" applyFill="1" applyBorder="1" applyAlignment="1">
      <alignment horizontal="right" vertical="center"/>
    </xf>
    <xf numFmtId="0" fontId="26" fillId="46" borderId="26" xfId="0" applyFont="1" applyFill="1" applyBorder="1" applyAlignment="1">
      <alignment horizontal="right" vertical="center"/>
    </xf>
    <xf numFmtId="0" fontId="26" fillId="46" borderId="17" xfId="0" applyFont="1" applyFill="1" applyBorder="1" applyAlignment="1">
      <alignment horizontal="left" vertical="center" wrapText="1"/>
    </xf>
    <xf numFmtId="0" fontId="26" fillId="46" borderId="19" xfId="0" applyFont="1" applyFill="1" applyBorder="1" applyAlignment="1">
      <alignment horizontal="right" vertical="center" wrapText="1"/>
    </xf>
    <xf numFmtId="0" fontId="11" fillId="0" borderId="0" xfId="0" applyFont="1" applyFill="1" applyAlignment="1">
      <alignment vertical="center" wrapText="1"/>
    </xf>
    <xf numFmtId="42" fontId="26" fillId="46" borderId="17" xfId="63" applyNumberFormat="1" applyFont="1" applyFill="1" applyBorder="1" applyAlignment="1">
      <alignment horizontal="left" vertical="center" wrapText="1"/>
    </xf>
    <xf numFmtId="0" fontId="26" fillId="0" borderId="0" xfId="0" applyFont="1" applyFill="1" applyAlignment="1">
      <alignment vertical="center"/>
    </xf>
    <xf numFmtId="171" fontId="26" fillId="0" borderId="17" xfId="63" applyNumberFormat="1" applyFont="1" applyFill="1" applyBorder="1" applyAlignment="1">
      <alignment horizontal="left" vertical="center" wrapText="1"/>
    </xf>
    <xf numFmtId="42" fontId="26" fillId="0" borderId="17" xfId="63" applyNumberFormat="1" applyFont="1" applyFill="1" applyBorder="1" applyAlignment="1">
      <alignment horizontal="left" vertical="center" wrapText="1"/>
    </xf>
    <xf numFmtId="0" fontId="26" fillId="46" borderId="23" xfId="0" applyFont="1" applyFill="1" applyBorder="1" applyAlignment="1">
      <alignment vertical="center" wrapText="1"/>
    </xf>
    <xf numFmtId="171" fontId="26" fillId="46" borderId="17" xfId="0" applyNumberFormat="1" applyFont="1" applyFill="1" applyBorder="1" applyAlignment="1">
      <alignment vertical="center" wrapText="1"/>
    </xf>
    <xf numFmtId="0" fontId="0" fillId="0" borderId="17" xfId="0" applyFont="1" applyFill="1" applyBorder="1" applyAlignment="1">
      <alignment horizontal="left" vertical="center" wrapText="1"/>
    </xf>
    <xf numFmtId="9" fontId="0" fillId="0" borderId="17" xfId="101" applyFont="1" applyFill="1" applyBorder="1" applyAlignment="1">
      <alignment horizontal="center" vertical="center" wrapText="1"/>
    </xf>
    <xf numFmtId="174" fontId="0" fillId="0" borderId="20" xfId="98" applyNumberFormat="1" applyFont="1" applyFill="1" applyBorder="1" applyAlignment="1">
      <alignment horizontal="center"/>
      <protection/>
    </xf>
    <xf numFmtId="3" fontId="0" fillId="0" borderId="20" xfId="98" applyNumberFormat="1" applyFont="1" applyFill="1" applyBorder="1" applyAlignment="1">
      <alignment horizontal="center"/>
      <protection/>
    </xf>
    <xf numFmtId="9" fontId="26" fillId="46" borderId="17" xfId="101" applyFont="1" applyFill="1" applyBorder="1" applyAlignment="1">
      <alignment horizontal="center" vertical="center" wrapText="1"/>
    </xf>
    <xf numFmtId="42" fontId="0" fillId="0" borderId="0" xfId="0" applyNumberFormat="1" applyFill="1" applyAlignment="1">
      <alignment vertical="center" wrapText="1"/>
    </xf>
    <xf numFmtId="9" fontId="0" fillId="0" borderId="0" xfId="101" applyFont="1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171" fontId="0" fillId="0" borderId="0" xfId="63" applyNumberFormat="1" applyFont="1" applyFill="1" applyBorder="1" applyAlignment="1">
      <alignment horizontal="left" vertical="center" wrapText="1"/>
    </xf>
    <xf numFmtId="9" fontId="0" fillId="0" borderId="0" xfId="101" applyFont="1" applyFill="1" applyBorder="1" applyAlignment="1">
      <alignment horizontal="center" vertical="center" wrapText="1"/>
    </xf>
    <xf numFmtId="0" fontId="26" fillId="46" borderId="17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horizontal="left" vertical="center"/>
    </xf>
    <xf numFmtId="2" fontId="0" fillId="0" borderId="0" xfId="63" applyNumberFormat="1" applyFont="1" applyFill="1" applyAlignment="1">
      <alignment vertical="center" wrapText="1"/>
    </xf>
    <xf numFmtId="204" fontId="0" fillId="0" borderId="17" xfId="0" applyNumberFormat="1" applyFont="1" applyFill="1" applyBorder="1" applyAlignment="1">
      <alignment horizontal="left" vertical="center"/>
    </xf>
    <xf numFmtId="0" fontId="0" fillId="0" borderId="17" xfId="0" applyFont="1" applyFill="1" applyBorder="1" applyAlignment="1">
      <alignment vertical="center"/>
    </xf>
    <xf numFmtId="204" fontId="0" fillId="0" borderId="19" xfId="0" applyNumberFormat="1" applyFont="1" applyFill="1" applyBorder="1" applyAlignment="1">
      <alignment horizontal="left" vertical="center"/>
    </xf>
    <xf numFmtId="0" fontId="0" fillId="0" borderId="19" xfId="0" applyFont="1" applyFill="1" applyBorder="1" applyAlignment="1">
      <alignment vertical="center"/>
    </xf>
    <xf numFmtId="2" fontId="0" fillId="0" borderId="17" xfId="0" applyNumberForma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left" vertical="center" wrapText="1" indent="1"/>
    </xf>
    <xf numFmtId="0" fontId="26" fillId="0" borderId="17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left" vertical="center"/>
    </xf>
    <xf numFmtId="0" fontId="26" fillId="0" borderId="17" xfId="0" applyFont="1" applyFill="1" applyBorder="1" applyAlignment="1">
      <alignment horizontal="left" vertical="center" wrapText="1"/>
    </xf>
    <xf numFmtId="0" fontId="0" fillId="0" borderId="2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165" fontId="0" fillId="0" borderId="17" xfId="63" applyNumberFormat="1" applyFont="1" applyFill="1" applyBorder="1" applyAlignment="1">
      <alignment horizontal="left" vertical="center" wrapText="1"/>
    </xf>
    <xf numFmtId="171" fontId="0" fillId="0" borderId="17" xfId="63" applyNumberFormat="1" applyFont="1" applyFill="1" applyBorder="1" applyAlignment="1">
      <alignment horizontal="left" vertical="center" wrapText="1"/>
    </xf>
    <xf numFmtId="171" fontId="26" fillId="0" borderId="17" xfId="63" applyNumberFormat="1" applyFont="1" applyFill="1" applyBorder="1" applyAlignment="1">
      <alignment horizontal="right" vertical="center" wrapText="1"/>
    </xf>
    <xf numFmtId="165" fontId="0" fillId="0" borderId="17" xfId="63" applyNumberFormat="1" applyFont="1" applyFill="1" applyBorder="1" applyAlignment="1">
      <alignment horizontal="left" vertical="center" wrapText="1"/>
    </xf>
    <xf numFmtId="9" fontId="26" fillId="0" borderId="17" xfId="10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left" vertical="center" wrapText="1" indent="2"/>
    </xf>
    <xf numFmtId="171" fontId="0" fillId="0" borderId="17" xfId="63" applyNumberFormat="1" applyFont="1" applyFill="1" applyBorder="1" applyAlignment="1">
      <alignment horizontal="right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4" fontId="26" fillId="0" borderId="0" xfId="63" applyNumberFormat="1" applyFont="1" applyFill="1" applyBorder="1" applyAlignment="1">
      <alignment horizontal="right" vertical="center"/>
    </xf>
    <xf numFmtId="44" fontId="0" fillId="0" borderId="0" xfId="68" applyFont="1" applyFill="1" applyBorder="1" applyAlignment="1">
      <alignment horizontal="right" vertical="center" wrapText="1"/>
    </xf>
    <xf numFmtId="0" fontId="0" fillId="0" borderId="17" xfId="0" applyFont="1" applyFill="1" applyBorder="1" applyAlignment="1">
      <alignment horizontal="left" vertical="top" wrapText="1"/>
    </xf>
    <xf numFmtId="209" fontId="26" fillId="0" borderId="17" xfId="63" applyNumberFormat="1" applyFont="1" applyFill="1" applyBorder="1" applyAlignment="1">
      <alignment horizontal="right" vertical="center" wrapText="1"/>
    </xf>
    <xf numFmtId="165" fontId="0" fillId="0" borderId="17" xfId="63" applyNumberFormat="1" applyFont="1" applyFill="1" applyBorder="1" applyAlignment="1">
      <alignment horizontal="left" vertical="center" wrapText="1" indent="1"/>
    </xf>
    <xf numFmtId="165" fontId="0" fillId="0" borderId="17" xfId="63" applyFont="1" applyFill="1" applyBorder="1" applyAlignment="1">
      <alignment horizontal="left" vertical="center" wrapText="1"/>
    </xf>
    <xf numFmtId="0" fontId="0" fillId="0" borderId="0" xfId="0" applyFill="1" applyAlignment="1">
      <alignment horizontal="right" vertical="center" wrapText="1"/>
    </xf>
    <xf numFmtId="0" fontId="26" fillId="0" borderId="0" xfId="0" applyFont="1" applyFill="1" applyAlignment="1">
      <alignment horizontal="center" vertical="center" wrapText="1"/>
    </xf>
    <xf numFmtId="165" fontId="0" fillId="0" borderId="0" xfId="63" applyFont="1" applyFill="1" applyAlignment="1">
      <alignment vertical="center"/>
    </xf>
    <xf numFmtId="165" fontId="26" fillId="0" borderId="0" xfId="63" applyFont="1" applyFill="1" applyAlignment="1">
      <alignment horizontal="center" vertical="center" wrapText="1"/>
    </xf>
    <xf numFmtId="165" fontId="0" fillId="0" borderId="0" xfId="63" applyFont="1" applyFill="1" applyAlignment="1">
      <alignment vertical="center" wrapText="1"/>
    </xf>
    <xf numFmtId="165" fontId="26" fillId="0" borderId="0" xfId="63" applyFont="1" applyFill="1" applyAlignment="1">
      <alignment vertical="center" wrapText="1"/>
    </xf>
    <xf numFmtId="9" fontId="0" fillId="0" borderId="0" xfId="101" applyFont="1" applyFill="1" applyAlignment="1">
      <alignment vertical="center"/>
    </xf>
    <xf numFmtId="9" fontId="26" fillId="0" borderId="0" xfId="101" applyFont="1" applyFill="1" applyAlignment="1">
      <alignment horizontal="center" vertical="center" wrapText="1"/>
    </xf>
    <xf numFmtId="9" fontId="26" fillId="0" borderId="0" xfId="101" applyFont="1" applyFill="1" applyAlignment="1">
      <alignment vertical="center" wrapText="1"/>
    </xf>
    <xf numFmtId="9" fontId="0" fillId="0" borderId="0" xfId="101" applyFont="1" applyFill="1" applyAlignment="1">
      <alignment horizontal="right" vertical="center"/>
    </xf>
    <xf numFmtId="165" fontId="0" fillId="0" borderId="0" xfId="63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9" fontId="0" fillId="0" borderId="0" xfId="101" applyFont="1" applyFill="1" applyAlignment="1">
      <alignment vertical="center" wrapText="1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7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1" xfId="0" applyNumberFormat="1" applyBorder="1" applyAlignment="1">
      <alignment/>
    </xf>
    <xf numFmtId="0" fontId="0" fillId="0" borderId="32" xfId="0" applyNumberFormat="1" applyBorder="1" applyAlignment="1">
      <alignment/>
    </xf>
    <xf numFmtId="0" fontId="26" fillId="46" borderId="19" xfId="0" applyFont="1" applyFill="1" applyBorder="1" applyAlignment="1">
      <alignment/>
    </xf>
    <xf numFmtId="0" fontId="0" fillId="46" borderId="23" xfId="0" applyFill="1" applyBorder="1" applyAlignment="1">
      <alignment/>
    </xf>
    <xf numFmtId="0" fontId="0" fillId="46" borderId="20" xfId="0" applyFill="1" applyBorder="1" applyAlignment="1">
      <alignment/>
    </xf>
    <xf numFmtId="165" fontId="0" fillId="46" borderId="25" xfId="63" applyFont="1" applyFill="1" applyBorder="1" applyAlignment="1">
      <alignment/>
    </xf>
    <xf numFmtId="0" fontId="26" fillId="46" borderId="25" xfId="0" applyFont="1" applyFill="1" applyBorder="1" applyAlignment="1">
      <alignment horizontal="center"/>
    </xf>
    <xf numFmtId="165" fontId="26" fillId="46" borderId="25" xfId="63" applyFont="1" applyFill="1" applyBorder="1" applyAlignment="1">
      <alignment/>
    </xf>
    <xf numFmtId="0" fontId="26" fillId="46" borderId="26" xfId="0" applyFont="1" applyFill="1" applyBorder="1" applyAlignment="1">
      <alignment horizontal="center"/>
    </xf>
    <xf numFmtId="165" fontId="26" fillId="46" borderId="26" xfId="63" applyFont="1" applyFill="1" applyBorder="1" applyAlignment="1">
      <alignment horizontal="center"/>
    </xf>
    <xf numFmtId="0" fontId="0" fillId="46" borderId="33" xfId="0" applyFill="1" applyBorder="1" applyAlignment="1">
      <alignment/>
    </xf>
    <xf numFmtId="165" fontId="0" fillId="46" borderId="33" xfId="63" applyFont="1" applyFill="1" applyBorder="1" applyAlignment="1">
      <alignment/>
    </xf>
    <xf numFmtId="9" fontId="0" fillId="46" borderId="33" xfId="101" applyFont="1" applyFill="1" applyBorder="1" applyAlignment="1">
      <alignment horizontal="center"/>
    </xf>
    <xf numFmtId="9" fontId="0" fillId="46" borderId="26" xfId="101" applyFont="1" applyFill="1" applyBorder="1" applyAlignment="1">
      <alignment horizontal="center"/>
    </xf>
    <xf numFmtId="0" fontId="26" fillId="46" borderId="17" xfId="0" applyFont="1" applyFill="1" applyBorder="1" applyAlignment="1">
      <alignment/>
    </xf>
    <xf numFmtId="165" fontId="26" fillId="46" borderId="20" xfId="63" applyFont="1" applyFill="1" applyBorder="1" applyAlignment="1">
      <alignment/>
    </xf>
    <xf numFmtId="9" fontId="26" fillId="46" borderId="17" xfId="0" applyNumberFormat="1" applyFont="1" applyFill="1" applyBorder="1" applyAlignment="1">
      <alignment horizontal="center"/>
    </xf>
    <xf numFmtId="165" fontId="0" fillId="0" borderId="0" xfId="63" applyFont="1" applyAlignment="1">
      <alignment/>
    </xf>
    <xf numFmtId="165" fontId="0" fillId="46" borderId="23" xfId="63" applyFont="1" applyFill="1" applyBorder="1" applyAlignment="1">
      <alignment/>
    </xf>
    <xf numFmtId="0" fontId="26" fillId="46" borderId="17" xfId="0" applyFont="1" applyFill="1" applyBorder="1" applyAlignment="1">
      <alignment horizontal="center"/>
    </xf>
    <xf numFmtId="165" fontId="26" fillId="46" borderId="17" xfId="63" applyFont="1" applyFill="1" applyBorder="1" applyAlignment="1">
      <alignment horizontal="center"/>
    </xf>
    <xf numFmtId="0" fontId="26" fillId="46" borderId="20" xfId="0" applyFont="1" applyFill="1" applyBorder="1" applyAlignment="1">
      <alignment horizontal="center"/>
    </xf>
    <xf numFmtId="9" fontId="0" fillId="46" borderId="0" xfId="101" applyFont="1" applyFill="1" applyBorder="1" applyAlignment="1">
      <alignment horizontal="center"/>
    </xf>
    <xf numFmtId="9" fontId="0" fillId="46" borderId="34" xfId="101" applyFont="1" applyFill="1" applyBorder="1" applyAlignment="1">
      <alignment horizontal="center"/>
    </xf>
    <xf numFmtId="9" fontId="0" fillId="46" borderId="23" xfId="101" applyFont="1" applyFill="1" applyBorder="1" applyAlignment="1">
      <alignment horizontal="center"/>
    </xf>
    <xf numFmtId="165" fontId="26" fillId="46" borderId="17" xfId="63" applyFont="1" applyFill="1" applyBorder="1" applyAlignment="1">
      <alignment/>
    </xf>
    <xf numFmtId="9" fontId="26" fillId="46" borderId="20" xfId="10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9" xfId="0" applyFont="1" applyFill="1" applyBorder="1" applyAlignment="1">
      <alignment horizontal="left" vertical="center"/>
    </xf>
    <xf numFmtId="0" fontId="26" fillId="46" borderId="17" xfId="0" applyFont="1" applyFill="1" applyBorder="1" applyAlignment="1">
      <alignment horizontal="left" vertical="center" wrapText="1"/>
    </xf>
    <xf numFmtId="0" fontId="26" fillId="46" borderId="19" xfId="0" applyFont="1" applyFill="1" applyBorder="1" applyAlignment="1">
      <alignment horizontal="left" vertical="center" wrapText="1"/>
    </xf>
    <xf numFmtId="0" fontId="26" fillId="46" borderId="23" xfId="0" applyFont="1" applyFill="1" applyBorder="1" applyAlignment="1">
      <alignment horizontal="left" vertical="center" wrapText="1"/>
    </xf>
    <xf numFmtId="0" fontId="26" fillId="46" borderId="20" xfId="0" applyFont="1" applyFill="1" applyBorder="1" applyAlignment="1">
      <alignment horizontal="left" vertical="center" wrapText="1"/>
    </xf>
  </cellXfs>
  <cellStyles count="10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 % - Accent1" xfId="27"/>
    <cellStyle name="40 % - Accent2" xfId="28"/>
    <cellStyle name="40 % - Accent3" xfId="29"/>
    <cellStyle name="40 % - Accent4" xfId="30"/>
    <cellStyle name="40 % - Accent5" xfId="31"/>
    <cellStyle name="40 % - Accent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 % - Accent1" xfId="39"/>
    <cellStyle name="60 % - Accent2" xfId="40"/>
    <cellStyle name="60 % - Accent3" xfId="41"/>
    <cellStyle name="60 % - Accent4" xfId="42"/>
    <cellStyle name="60 % - Accent5" xfId="43"/>
    <cellStyle name="60 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vertissement" xfId="57"/>
    <cellStyle name="Bad" xfId="58"/>
    <cellStyle name="Calcul" xfId="59"/>
    <cellStyle name="Calculation" xfId="60"/>
    <cellStyle name="Cellule liée" xfId="61"/>
    <cellStyle name="Check Cell" xfId="62"/>
    <cellStyle name="Comma" xfId="63"/>
    <cellStyle name="Comma [0]" xfId="64"/>
    <cellStyle name="Comma 2" xfId="65"/>
    <cellStyle name="Comma0" xfId="66"/>
    <cellStyle name="Commentaire" xfId="67"/>
    <cellStyle name="Currency" xfId="68"/>
    <cellStyle name="Currency [0]" xfId="69"/>
    <cellStyle name="Currency 2" xfId="70"/>
    <cellStyle name="Currency0" xfId="71"/>
    <cellStyle name="Date" xfId="72"/>
    <cellStyle name="Entrée" xfId="73"/>
    <cellStyle name="Euro" xfId="74"/>
    <cellStyle name="Euro 2" xfId="75"/>
    <cellStyle name="Explanatory Text" xfId="76"/>
    <cellStyle name="Fixed" xfId="77"/>
    <cellStyle name="Followed Hyperlink" xfId="78"/>
    <cellStyle name="Good" xfId="79"/>
    <cellStyle name="Heading 1" xfId="80"/>
    <cellStyle name="Heading 2" xfId="81"/>
    <cellStyle name="Heading 2 2" xfId="82"/>
    <cellStyle name="Heading 3" xfId="83"/>
    <cellStyle name="Heading 4" xfId="84"/>
    <cellStyle name="Hyperlink" xfId="85"/>
    <cellStyle name="Input" xfId="86"/>
    <cellStyle name="Input 2" xfId="87"/>
    <cellStyle name="Insatisfaisant" xfId="88"/>
    <cellStyle name="Linked Cell" xfId="89"/>
    <cellStyle name="Monétaire_Xl0000044" xfId="90"/>
    <cellStyle name="Neutral" xfId="91"/>
    <cellStyle name="Neutre" xfId="92"/>
    <cellStyle name="Normal 2" xfId="93"/>
    <cellStyle name="Normal 3" xfId="94"/>
    <cellStyle name="Normal 4" xfId="95"/>
    <cellStyle name="Normal 5" xfId="96"/>
    <cellStyle name="Normal 6" xfId="97"/>
    <cellStyle name="Normal_Xl0000044" xfId="98"/>
    <cellStyle name="Note" xfId="99"/>
    <cellStyle name="Output" xfId="100"/>
    <cellStyle name="Percent" xfId="101"/>
    <cellStyle name="Percent 2" xfId="102"/>
    <cellStyle name="Percent 3" xfId="103"/>
    <cellStyle name="Satisfaisant" xfId="104"/>
    <cellStyle name="Sortie" xfId="105"/>
    <cellStyle name="Texte explicatif" xfId="106"/>
    <cellStyle name="Title" xfId="107"/>
    <cellStyle name="Titre" xfId="108"/>
    <cellStyle name="Titre 1" xfId="109"/>
    <cellStyle name="Titre 2" xfId="110"/>
    <cellStyle name="Titre 3" xfId="111"/>
    <cellStyle name="Titre 4" xfId="112"/>
    <cellStyle name="Total" xfId="113"/>
    <cellStyle name="Total/Average" xfId="114"/>
    <cellStyle name="Vérification" xfId="115"/>
    <cellStyle name="Warning Text" xfId="1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733425</xdr:colOff>
      <xdr:row>0</xdr:row>
      <xdr:rowOff>47625</xdr:rowOff>
    </xdr:from>
    <xdr:to>
      <xdr:col>4</xdr:col>
      <xdr:colOff>1609725</xdr:colOff>
      <xdr:row>3</xdr:row>
      <xdr:rowOff>104775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05600" y="47625"/>
          <a:ext cx="19240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476250</xdr:colOff>
      <xdr:row>2</xdr:row>
      <xdr:rowOff>76200</xdr:rowOff>
    </xdr:from>
    <xdr:to>
      <xdr:col>21</xdr:col>
      <xdr:colOff>752475</xdr:colOff>
      <xdr:row>5</xdr:row>
      <xdr:rowOff>76200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54225" y="361950"/>
          <a:ext cx="19240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AYVRWPFIL01\Users\Users\mel.gray\AppData\Local\Microsoft\Windows\Temporary%20Internet%20Files\Content.Outlook\PFLJGR22\TIC%20Cost%20Estima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"/>
      <sheetName val="BSL_COVER"/>
      <sheetName val="BSL_APPR"/>
      <sheetName val="BASIS"/>
      <sheetName val="STRUCTURE"/>
      <sheetName val="RATES"/>
      <sheetName val="ESTIMATE"/>
      <sheetName val="SUMMARY"/>
      <sheetName val="COMMODITIES"/>
      <sheetName val="PICK LISTS"/>
      <sheetName val="LOGOS"/>
      <sheetName val="PIPING_RATES"/>
      <sheetName val="REV_HIST"/>
      <sheetName val="REV"/>
      <sheetName val="YAR_COVER"/>
      <sheetName val="TRANSFER"/>
      <sheetName val="BLANK"/>
    </sheetNames>
    <sheetDataSet>
      <sheetData sheetId="9">
        <row r="22">
          <cell r="B22" t="str">
            <v>BOYNE SMELTERS LIMITED</v>
          </cell>
        </row>
        <row r="23">
          <cell r="B23" t="str">
            <v>QUEENSLAND ALUMINA</v>
          </cell>
        </row>
        <row r="24">
          <cell r="B24" t="str">
            <v>RTA GOVE</v>
          </cell>
        </row>
        <row r="25">
          <cell r="B25" t="str">
            <v>RTA YARWUN</v>
          </cell>
        </row>
      </sheetData>
    </sheetDataSet>
  </externalBook>
</externalLink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A10:AC93" sheet="Detail Costs"/>
  </cacheSource>
  <cacheFields count="3">
    <cacheField name="type of labour">
      <sharedItems containsBlank="1" containsMixedTypes="0" count="10">
        <m/>
        <s v="Truck Driver"/>
        <s v="Equip Op"/>
        <s v="Equip Op / Welders / Labour"/>
        <s v="Equip Op / Equip Maintenance"/>
        <s v="Equip Op / Labour"/>
        <s v="Labour"/>
        <s v="Equip Maintenance"/>
        <s v="Camp  Op &amp; Maintenance"/>
        <s v="Engineering"/>
      </sharedItems>
    </cacheField>
    <cacheField name="% labour">
      <sharedItems containsString="0" containsBlank="1" containsMixedTypes="0" containsNumber="1" count="12">
        <m/>
        <n v="0.35"/>
        <n v="0.33"/>
        <n v="0.26"/>
        <n v="0.48"/>
        <n v="0.3"/>
        <n v="1"/>
        <n v="0"/>
        <n v="0.1"/>
        <n v="0.6"/>
        <n v="0.2"/>
        <n v="0.95"/>
      </sharedItems>
    </cacheField>
    <cacheField name="labour cost">
      <sharedItems containsMixedTypes="1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B3:D15" firstHeaderRow="2" firstDataRow="2" firstDataCol="2"/>
  <pivotFields count="3">
    <pivotField axis="axisRow" compact="0" outline="0" subtotalTop="0" showAll="0" defaultSubtotal="0">
      <items count="10">
        <item sd="0" x="8"/>
        <item sd="0" x="9"/>
        <item sd="0" x="7"/>
        <item sd="0" x="2"/>
        <item sd="0" x="4"/>
        <item sd="0" x="5"/>
        <item sd="0" x="3"/>
        <item sd="0" x="6"/>
        <item sd="0" x="1"/>
        <item sd="0" x="0"/>
      </items>
    </pivotField>
    <pivotField axis="axisRow" compact="0" outline="0" subtotalTop="0" showAll="0" defaultSubtotal="0">
      <items count="12">
        <item x="7"/>
        <item x="8"/>
        <item x="10"/>
        <item x="3"/>
        <item x="5"/>
        <item x="2"/>
        <item x="1"/>
        <item x="4"/>
        <item x="9"/>
        <item x="11"/>
        <item x="6"/>
        <item x="0"/>
      </items>
    </pivotField>
    <pivotField dataField="1" compact="0" outline="0" subtotalTop="0" showAll="0"/>
  </pivotFields>
  <rowFields count="2">
    <field x="0"/>
    <field x="1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Sum of labour cost" fld="2" baseField="1" baseItem="2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zoomScale="80" zoomScaleNormal="80" zoomScalePageLayoutView="0" workbookViewId="0" topLeftCell="A1">
      <selection activeCell="E26" sqref="E26"/>
    </sheetView>
  </sheetViews>
  <sheetFormatPr defaultColWidth="9.33203125" defaultRowHeight="11.25"/>
  <cols>
    <col min="1" max="1" width="3.16015625" style="1" customWidth="1"/>
    <col min="2" max="2" width="20" style="1" customWidth="1"/>
    <col min="3" max="3" width="81.33203125" style="1" bestFit="1" customWidth="1"/>
    <col min="4" max="4" width="18.33203125" style="1" customWidth="1"/>
    <col min="5" max="5" width="28.66015625" style="32" customWidth="1"/>
    <col min="6" max="7" width="9.33203125" style="1" customWidth="1"/>
    <col min="8" max="8" width="9.83203125" style="1" bestFit="1" customWidth="1"/>
    <col min="9" max="16384" width="9.33203125" style="1" customWidth="1"/>
  </cols>
  <sheetData>
    <row r="1" ht="11.25">
      <c r="A1" s="25" t="str">
        <f ca="1">CELL("filename",A1)</f>
        <v>U:\YVR\307071\00895_YEMR_ClintonCrk\02_Rpts\11_Eng-Tech_Rpt_and_Studies\307071-00895-00-WR-REP-0001_Rev0\Excel and CAD files\Appendix 3\Clinton CAPEX\[307071-00895-Clinton Creek LCCA-Option E-11032014.xls]Summary</v>
      </c>
    </row>
    <row r="2" ht="11.25">
      <c r="E2" s="6"/>
    </row>
    <row r="3" spans="2:5" ht="12.75">
      <c r="B3" s="7" t="s">
        <v>60</v>
      </c>
      <c r="E3" s="6"/>
    </row>
    <row r="4" ht="11.25"/>
    <row r="5" spans="2:5" ht="15.75" customHeight="1">
      <c r="B5" s="26" t="s">
        <v>7</v>
      </c>
      <c r="C5" s="8" t="str">
        <f>'Detail Costs'!D5</f>
        <v>Assessment and Abandoned Mines</v>
      </c>
      <c r="D5" s="29" t="s">
        <v>9</v>
      </c>
      <c r="E5" s="51">
        <f>'Detail Costs'!F5</f>
        <v>41726</v>
      </c>
    </row>
    <row r="6" spans="2:5" ht="15.75" customHeight="1">
      <c r="B6" s="24" t="s">
        <v>8</v>
      </c>
      <c r="C6" s="8" t="str">
        <f>'Detail Costs'!D6</f>
        <v>Clinton Creek Site LCCA - Option CC-E</v>
      </c>
      <c r="D6" s="29" t="s">
        <v>25</v>
      </c>
      <c r="E6" s="51" t="str">
        <f>'Detail Costs'!F6</f>
        <v> +/-50%</v>
      </c>
    </row>
    <row r="7" spans="2:5" ht="15.75" customHeight="1">
      <c r="B7" s="24" t="s">
        <v>12</v>
      </c>
      <c r="C7" s="58" t="str">
        <f>'Detail Costs'!D7</f>
        <v>307071-00895</v>
      </c>
      <c r="D7" s="29" t="s">
        <v>10</v>
      </c>
      <c r="E7" s="51" t="str">
        <f>'Detail Costs'!F7</f>
        <v>MW</v>
      </c>
    </row>
    <row r="8" spans="2:5" ht="15.75" customHeight="1">
      <c r="B8" s="27" t="s">
        <v>11</v>
      </c>
      <c r="C8" s="11"/>
      <c r="D8" s="29" t="s">
        <v>13</v>
      </c>
      <c r="E8" s="52"/>
    </row>
    <row r="10" spans="2:5" s="12" customFormat="1" ht="21.75" customHeight="1">
      <c r="B10" s="22" t="s">
        <v>27</v>
      </c>
      <c r="C10" s="22" t="s">
        <v>26</v>
      </c>
      <c r="D10" s="22"/>
      <c r="E10" s="22" t="s">
        <v>29</v>
      </c>
    </row>
    <row r="11" spans="2:5" s="4" customFormat="1" ht="15" customHeight="1">
      <c r="B11" s="3"/>
      <c r="C11" s="3"/>
      <c r="D11" s="3"/>
      <c r="E11" s="33"/>
    </row>
    <row r="12" spans="2:5" s="4" customFormat="1" ht="15" customHeight="1">
      <c r="B12" s="55">
        <v>1</v>
      </c>
      <c r="C12" s="37" t="s">
        <v>30</v>
      </c>
      <c r="D12" s="37"/>
      <c r="E12" s="34">
        <f>ROUND('Detail Costs'!S66,-3)</f>
        <v>11882000</v>
      </c>
    </row>
    <row r="13" spans="2:5" s="4" customFormat="1" ht="15" customHeight="1">
      <c r="B13" s="2"/>
      <c r="C13" s="37"/>
      <c r="D13" s="37"/>
      <c r="E13" s="34"/>
    </row>
    <row r="14" spans="2:8" s="4" customFormat="1" ht="15" customHeight="1">
      <c r="B14" s="55">
        <v>2</v>
      </c>
      <c r="C14" s="37" t="s">
        <v>31</v>
      </c>
      <c r="D14" s="39"/>
      <c r="E14" s="34">
        <f>ROUND('Detail Costs'!S87,-3)</f>
        <v>5530000</v>
      </c>
      <c r="H14" s="42"/>
    </row>
    <row r="15" spans="2:5" s="4" customFormat="1" ht="15" customHeight="1">
      <c r="B15" s="2"/>
      <c r="C15" s="37"/>
      <c r="D15" s="37"/>
      <c r="E15" s="34"/>
    </row>
    <row r="16" spans="2:8" s="4" customFormat="1" ht="15" customHeight="1">
      <c r="B16" s="55">
        <v>3.01</v>
      </c>
      <c r="C16" s="37" t="s">
        <v>33</v>
      </c>
      <c r="D16" s="40"/>
      <c r="E16" s="34">
        <f>ROUND('Detail Costs'!S91,-3)</f>
        <v>1741000</v>
      </c>
      <c r="H16" s="42"/>
    </row>
    <row r="17" spans="2:5" s="4" customFormat="1" ht="15" customHeight="1">
      <c r="B17" s="2"/>
      <c r="C17" s="37"/>
      <c r="D17" s="37"/>
      <c r="E17" s="34"/>
    </row>
    <row r="18" spans="2:8" s="4" customFormat="1" ht="15" customHeight="1">
      <c r="B18" s="55">
        <v>3.02</v>
      </c>
      <c r="C18" s="37" t="s">
        <v>32</v>
      </c>
      <c r="D18" s="40"/>
      <c r="E18" s="34">
        <f>ROUND('Detail Costs'!S92,-3)</f>
        <v>0</v>
      </c>
      <c r="H18" s="42"/>
    </row>
    <row r="19" spans="2:5" s="4" customFormat="1" ht="15" customHeight="1">
      <c r="B19" s="2"/>
      <c r="C19" s="3"/>
      <c r="D19" s="3"/>
      <c r="E19" s="34"/>
    </row>
    <row r="20" spans="2:5" s="4" customFormat="1" ht="15" customHeight="1">
      <c r="B20" s="55">
        <v>3.03</v>
      </c>
      <c r="C20" s="37" t="s">
        <v>36</v>
      </c>
      <c r="D20" s="40"/>
      <c r="E20" s="34">
        <f>ROUND('Detail Costs'!S93,-3)</f>
        <v>0</v>
      </c>
    </row>
    <row r="21" spans="2:5" s="4" customFormat="1" ht="15" customHeight="1">
      <c r="B21" s="2"/>
      <c r="C21" s="3"/>
      <c r="D21" s="3"/>
      <c r="E21" s="34"/>
    </row>
    <row r="22" spans="2:5" s="4" customFormat="1" ht="21.75" customHeight="1">
      <c r="B22" s="28"/>
      <c r="C22" s="28" t="s">
        <v>34</v>
      </c>
      <c r="D22" s="28"/>
      <c r="E22" s="31">
        <f>SUM(E12:E20)</f>
        <v>19153000</v>
      </c>
    </row>
    <row r="23" spans="2:5" s="4" customFormat="1" ht="15" customHeight="1">
      <c r="B23" s="2"/>
      <c r="C23" s="37"/>
      <c r="D23" s="37"/>
      <c r="E23" s="34"/>
    </row>
    <row r="24" spans="2:9" s="4" customFormat="1" ht="15" customHeight="1">
      <c r="B24" s="2">
        <v>4.01</v>
      </c>
      <c r="C24" s="37" t="s">
        <v>15</v>
      </c>
      <c r="D24" s="38">
        <f>E24/E22</f>
        <v>0.5000261055709289</v>
      </c>
      <c r="E24" s="34">
        <f>ROUND('Detail Costs'!U96,-3)</f>
        <v>9577000</v>
      </c>
      <c r="H24" s="42"/>
      <c r="I24" s="43"/>
    </row>
    <row r="25" spans="2:5" s="4" customFormat="1" ht="15" customHeight="1">
      <c r="B25" s="2"/>
      <c r="C25" s="3"/>
      <c r="D25" s="3"/>
      <c r="E25" s="34"/>
    </row>
    <row r="26" spans="2:5" s="4" customFormat="1" ht="21.75" customHeight="1">
      <c r="B26" s="28"/>
      <c r="C26" s="28" t="s">
        <v>28</v>
      </c>
      <c r="D26" s="28"/>
      <c r="E26" s="31">
        <f>SUM(E22:E25)</f>
        <v>28730000</v>
      </c>
    </row>
    <row r="27" s="4" customFormat="1" ht="11.25">
      <c r="E27" s="14"/>
    </row>
    <row r="28" spans="2:5" s="4" customFormat="1" ht="11.25">
      <c r="B28" s="30"/>
      <c r="E28" s="14"/>
    </row>
    <row r="29" s="4" customFormat="1" ht="11.25">
      <c r="E29" s="14"/>
    </row>
    <row r="30" s="4" customFormat="1" ht="11.25">
      <c r="E30" s="14"/>
    </row>
    <row r="31" s="4" customFormat="1" ht="11.25">
      <c r="E31" s="14"/>
    </row>
    <row r="32" s="4" customFormat="1" ht="11.25">
      <c r="E32" s="14"/>
    </row>
    <row r="33" s="4" customFormat="1" ht="11.25">
      <c r="E33" s="14"/>
    </row>
    <row r="34" s="4" customFormat="1" ht="11.25">
      <c r="E34" s="14"/>
    </row>
    <row r="35" s="4" customFormat="1" ht="11.25">
      <c r="E35" s="14"/>
    </row>
    <row r="36" s="4" customFormat="1" ht="11.25">
      <c r="E36" s="14"/>
    </row>
    <row r="37" s="4" customFormat="1" ht="11.25">
      <c r="E37" s="14"/>
    </row>
    <row r="38" s="4" customFormat="1" ht="11.25">
      <c r="E38" s="14"/>
    </row>
    <row r="39" s="4" customFormat="1" ht="11.25">
      <c r="E39" s="14"/>
    </row>
    <row r="40" s="4" customFormat="1" ht="11.25">
      <c r="E40" s="14"/>
    </row>
    <row r="41" s="4" customFormat="1" ht="11.25">
      <c r="E41" s="14"/>
    </row>
    <row r="42" s="4" customFormat="1" ht="11.25">
      <c r="E42" s="14"/>
    </row>
    <row r="43" s="4" customFormat="1" ht="11.25">
      <c r="E43" s="14"/>
    </row>
    <row r="44" s="4" customFormat="1" ht="11.25">
      <c r="E44" s="14"/>
    </row>
    <row r="45" s="4" customFormat="1" ht="11.25">
      <c r="E45" s="14"/>
    </row>
    <row r="46" s="4" customFormat="1" ht="11.25">
      <c r="E46" s="14"/>
    </row>
    <row r="47" s="4" customFormat="1" ht="11.25">
      <c r="E47" s="14"/>
    </row>
    <row r="48" s="4" customFormat="1" ht="11.25">
      <c r="E48" s="14"/>
    </row>
    <row r="49" s="4" customFormat="1" ht="11.25">
      <c r="E49" s="14"/>
    </row>
    <row r="50" s="4" customFormat="1" ht="11.25">
      <c r="E50" s="14"/>
    </row>
    <row r="51" s="4" customFormat="1" ht="11.25">
      <c r="E51" s="14"/>
    </row>
    <row r="52" s="4" customFormat="1" ht="11.25">
      <c r="E52" s="14"/>
    </row>
    <row r="53" s="4" customFormat="1" ht="11.25">
      <c r="E53" s="14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23"/>
  <sheetViews>
    <sheetView tabSelected="1" zoomScale="115" zoomScaleNormal="115" zoomScalePageLayoutView="0" workbookViewId="0" topLeftCell="A1">
      <selection activeCell="C102" sqref="C102"/>
    </sheetView>
  </sheetViews>
  <sheetFormatPr defaultColWidth="9.33203125" defaultRowHeight="11.25"/>
  <cols>
    <col min="1" max="1" width="4.83203125" style="1" customWidth="1"/>
    <col min="2" max="2" width="8.33203125" style="1" customWidth="1"/>
    <col min="3" max="3" width="10.5" style="1" customWidth="1"/>
    <col min="4" max="4" width="44.5" style="1" customWidth="1"/>
    <col min="5" max="5" width="25.16015625" style="1" customWidth="1"/>
    <col min="6" max="6" width="11.33203125" style="1" bestFit="1" customWidth="1"/>
    <col min="7" max="7" width="8.33203125" style="44" bestFit="1" customWidth="1"/>
    <col min="8" max="8" width="10.16015625" style="1" customWidth="1"/>
    <col min="9" max="9" width="7.83203125" style="1" customWidth="1"/>
    <col min="10" max="10" width="10.66015625" style="1" customWidth="1"/>
    <col min="11" max="11" width="9.83203125" style="1" customWidth="1"/>
    <col min="12" max="12" width="9.66015625" style="1" customWidth="1"/>
    <col min="13" max="13" width="17.5" style="1" customWidth="1"/>
    <col min="14" max="14" width="15" style="1" customWidth="1"/>
    <col min="15" max="15" width="7.83203125" style="1" customWidth="1"/>
    <col min="16" max="16" width="9.5" style="1" customWidth="1"/>
    <col min="17" max="17" width="11.83203125" style="1" customWidth="1"/>
    <col min="18" max="18" width="12.83203125" style="1" customWidth="1"/>
    <col min="19" max="19" width="14.16015625" style="1" customWidth="1"/>
    <col min="20" max="20" width="14.66015625" style="1" customWidth="1"/>
    <col min="21" max="21" width="14.16015625" style="1" customWidth="1"/>
    <col min="22" max="22" width="14.66015625" style="1" customWidth="1"/>
    <col min="23" max="23" width="11.33203125" style="1" customWidth="1"/>
    <col min="24" max="24" width="68.16015625" style="4" customWidth="1"/>
    <col min="25" max="25" width="9.83203125" style="1" customWidth="1"/>
    <col min="26" max="27" width="9.33203125" style="1" customWidth="1"/>
    <col min="28" max="28" width="9.33203125" style="83" customWidth="1"/>
    <col min="29" max="29" width="17.33203125" style="79" bestFit="1" customWidth="1"/>
    <col min="30" max="16384" width="9.33203125" style="1" customWidth="1"/>
  </cols>
  <sheetData>
    <row r="1" spans="1:17" ht="11.25">
      <c r="A1" s="1" t="str">
        <f ca="1">CELL("filename",A1)</f>
        <v>U:\YVR\307071\00895_YEMR_ClintonCrk\02_Rpts\11_Eng-Tech_Rpt_and_Studies\307071-00895-00-WR-REP-0001_Rev0\Excel and CAD files\Appendix 3\Clinton CAPEX\[307071-00895-Clinton Creek LCCA-Option E-11032014.xls]Detail Costs</v>
      </c>
      <c r="E1" s="5"/>
      <c r="Q1" s="44"/>
    </row>
    <row r="2" spans="5:25" ht="11.25">
      <c r="E2" s="5"/>
      <c r="Q2" s="44"/>
      <c r="Y2" s="6"/>
    </row>
    <row r="3" spans="2:25" ht="12.75">
      <c r="B3" s="7" t="s">
        <v>59</v>
      </c>
      <c r="E3" s="5"/>
      <c r="Q3" s="44"/>
      <c r="X3" s="77"/>
      <c r="Y3" s="6"/>
    </row>
    <row r="4" spans="5:25" ht="11.25">
      <c r="E4" s="5"/>
      <c r="Q4" s="44"/>
      <c r="X4" s="77"/>
      <c r="Y4" s="32"/>
    </row>
    <row r="5" spans="2:22" ht="15.75" customHeight="1">
      <c r="B5" s="15"/>
      <c r="C5" s="18" t="s">
        <v>7</v>
      </c>
      <c r="D5" s="8" t="s">
        <v>170</v>
      </c>
      <c r="E5" s="21" t="s">
        <v>9</v>
      </c>
      <c r="F5" s="53">
        <v>41726</v>
      </c>
      <c r="G5" s="60"/>
      <c r="H5" s="10"/>
      <c r="N5" s="23"/>
      <c r="P5" s="23"/>
      <c r="Q5" s="44"/>
      <c r="S5" s="23"/>
      <c r="V5" s="23"/>
    </row>
    <row r="6" spans="2:17" ht="15.75" customHeight="1">
      <c r="B6" s="16"/>
      <c r="C6" s="19" t="s">
        <v>8</v>
      </c>
      <c r="D6" s="9" t="s">
        <v>171</v>
      </c>
      <c r="E6" s="24" t="s">
        <v>25</v>
      </c>
      <c r="F6" s="54" t="s">
        <v>65</v>
      </c>
      <c r="G6" s="60"/>
      <c r="H6" s="10"/>
      <c r="Q6" s="44"/>
    </row>
    <row r="7" spans="2:17" ht="15.75" customHeight="1">
      <c r="B7" s="16"/>
      <c r="C7" s="19" t="s">
        <v>12</v>
      </c>
      <c r="D7" s="9" t="s">
        <v>64</v>
      </c>
      <c r="E7" s="24" t="s">
        <v>10</v>
      </c>
      <c r="F7" s="54" t="s">
        <v>66</v>
      </c>
      <c r="G7" s="60"/>
      <c r="H7" s="10"/>
      <c r="K7" s="70"/>
      <c r="L7" s="71"/>
      <c r="M7" s="1" t="s">
        <v>62</v>
      </c>
      <c r="Q7" s="44"/>
    </row>
    <row r="8" spans="2:17" ht="15.75" customHeight="1">
      <c r="B8" s="17"/>
      <c r="C8" s="20" t="s">
        <v>11</v>
      </c>
      <c r="D8" s="11"/>
      <c r="E8" s="24" t="s">
        <v>13</v>
      </c>
      <c r="F8" s="124">
        <v>0</v>
      </c>
      <c r="G8" s="60"/>
      <c r="H8" s="10"/>
      <c r="K8" s="70"/>
      <c r="L8" s="72"/>
      <c r="Q8" s="44"/>
    </row>
    <row r="9" ht="11.25">
      <c r="Q9" s="44"/>
    </row>
    <row r="10" spans="2:29" s="12" customFormat="1" ht="54.75" customHeight="1">
      <c r="B10" s="22" t="s">
        <v>43</v>
      </c>
      <c r="C10" s="22" t="s">
        <v>14</v>
      </c>
      <c r="D10" s="22" t="s">
        <v>2</v>
      </c>
      <c r="E10" s="22" t="s">
        <v>4</v>
      </c>
      <c r="F10" s="22" t="s">
        <v>3</v>
      </c>
      <c r="G10" s="22" t="s">
        <v>1</v>
      </c>
      <c r="H10" s="22" t="s">
        <v>0</v>
      </c>
      <c r="I10" s="22" t="s">
        <v>16</v>
      </c>
      <c r="J10" s="22" t="s">
        <v>18</v>
      </c>
      <c r="K10" s="22" t="s">
        <v>17</v>
      </c>
      <c r="L10" s="22" t="s">
        <v>19</v>
      </c>
      <c r="M10" s="22" t="s">
        <v>102</v>
      </c>
      <c r="N10" s="22" t="s">
        <v>103</v>
      </c>
      <c r="O10" s="22" t="s">
        <v>5</v>
      </c>
      <c r="P10" s="22" t="s">
        <v>20</v>
      </c>
      <c r="Q10" s="22" t="s">
        <v>24</v>
      </c>
      <c r="R10" s="22" t="s">
        <v>23</v>
      </c>
      <c r="S10" s="22" t="s">
        <v>35</v>
      </c>
      <c r="T10" s="22" t="s">
        <v>21</v>
      </c>
      <c r="U10" s="22" t="s">
        <v>22</v>
      </c>
      <c r="V10" s="22" t="s">
        <v>6</v>
      </c>
      <c r="W10" s="22"/>
      <c r="X10" s="22"/>
      <c r="Y10" s="22"/>
      <c r="AA10" s="78"/>
      <c r="AB10" s="84"/>
      <c r="AC10" s="80"/>
    </row>
    <row r="11" spans="2:29" s="4" customFormat="1" ht="4.5" customHeight="1">
      <c r="B11" s="45"/>
      <c r="C11" s="45"/>
      <c r="D11" s="45"/>
      <c r="E11" s="45"/>
      <c r="F11" s="46"/>
      <c r="G11" s="61"/>
      <c r="H11" s="46"/>
      <c r="I11" s="46"/>
      <c r="J11" s="46"/>
      <c r="K11" s="46"/>
      <c r="L11" s="46"/>
      <c r="M11" s="46"/>
      <c r="N11" s="46"/>
      <c r="O11" s="46"/>
      <c r="P11" s="46"/>
      <c r="Q11" s="47"/>
      <c r="R11" s="46"/>
      <c r="S11" s="46"/>
      <c r="T11" s="47"/>
      <c r="U11" s="46"/>
      <c r="V11" s="46"/>
      <c r="W11" s="45"/>
      <c r="X11" s="45"/>
      <c r="Y11" s="45"/>
      <c r="AB11" s="43"/>
      <c r="AC11" s="81"/>
    </row>
    <row r="12" spans="2:29" s="4" customFormat="1" ht="11.25">
      <c r="B12" s="49" t="s">
        <v>38</v>
      </c>
      <c r="C12" s="45"/>
      <c r="D12" s="45"/>
      <c r="E12" s="45"/>
      <c r="F12" s="46"/>
      <c r="G12" s="61"/>
      <c r="H12" s="46"/>
      <c r="I12" s="46"/>
      <c r="J12" s="46"/>
      <c r="K12" s="46"/>
      <c r="L12" s="46"/>
      <c r="M12" s="46"/>
      <c r="N12" s="46"/>
      <c r="O12" s="46"/>
      <c r="P12" s="46"/>
      <c r="Q12" s="47"/>
      <c r="R12" s="46"/>
      <c r="S12" s="46"/>
      <c r="T12" s="47"/>
      <c r="U12" s="46"/>
      <c r="V12" s="46"/>
      <c r="W12" s="45"/>
      <c r="X12" s="45"/>
      <c r="Y12" s="45"/>
      <c r="AB12" s="43"/>
      <c r="AC12" s="81"/>
    </row>
    <row r="13" spans="2:29" s="4" customFormat="1" ht="4.5" customHeight="1">
      <c r="B13" s="45"/>
      <c r="C13" s="45"/>
      <c r="D13" s="45"/>
      <c r="E13" s="45"/>
      <c r="F13" s="46"/>
      <c r="G13" s="61"/>
      <c r="H13" s="46"/>
      <c r="I13" s="46"/>
      <c r="J13" s="46"/>
      <c r="K13" s="46"/>
      <c r="L13" s="46"/>
      <c r="M13" s="46"/>
      <c r="N13" s="46"/>
      <c r="O13" s="46"/>
      <c r="P13" s="46"/>
      <c r="Q13" s="47"/>
      <c r="R13" s="46"/>
      <c r="S13" s="46"/>
      <c r="T13" s="47"/>
      <c r="U13" s="46"/>
      <c r="V13" s="46"/>
      <c r="W13" s="45"/>
      <c r="X13" s="45"/>
      <c r="Y13" s="45"/>
      <c r="AB13" s="43"/>
      <c r="AC13" s="81"/>
    </row>
    <row r="14" spans="1:29" s="4" customFormat="1" ht="11.25">
      <c r="A14" s="50">
        <v>1.01</v>
      </c>
      <c r="B14" s="3"/>
      <c r="C14" s="37"/>
      <c r="D14" s="37"/>
      <c r="E14" s="37"/>
      <c r="F14" s="33"/>
      <c r="G14" s="57"/>
      <c r="H14" s="13"/>
      <c r="I14" s="13">
        <f aca="true" t="shared" si="0" ref="I14:I27">F14*H14</f>
        <v>0</v>
      </c>
      <c r="J14" s="13">
        <f aca="true" t="shared" si="1" ref="J14:J27">I14*$L$8</f>
        <v>0</v>
      </c>
      <c r="K14" s="13"/>
      <c r="L14" s="13">
        <f aca="true" t="shared" si="2" ref="L14:L27">F14*K14</f>
        <v>0</v>
      </c>
      <c r="M14" s="13"/>
      <c r="N14" s="13">
        <f aca="true" t="shared" si="3" ref="N14:N27">F14*M14</f>
        <v>0</v>
      </c>
      <c r="O14" s="13"/>
      <c r="P14" s="13">
        <f aca="true" t="shared" si="4" ref="P14:P27">F14*O14</f>
        <v>0</v>
      </c>
      <c r="Q14" s="38"/>
      <c r="R14" s="13">
        <f aca="true" t="shared" si="5" ref="R14:R27">(J14+L14+N14+P14)*Q14</f>
        <v>0</v>
      </c>
      <c r="S14" s="13">
        <f aca="true" t="shared" si="6" ref="S14:S27">J14+L14+N14+P14+R14</f>
        <v>0</v>
      </c>
      <c r="T14" s="38"/>
      <c r="U14" s="13">
        <f aca="true" t="shared" si="7" ref="U14:U27">S14*T14</f>
        <v>0</v>
      </c>
      <c r="V14" s="13">
        <f aca="true" t="shared" si="8" ref="V14:V27">S14+U14</f>
        <v>0</v>
      </c>
      <c r="W14" s="3"/>
      <c r="X14" s="3"/>
      <c r="Y14" s="3"/>
      <c r="AB14" s="43"/>
      <c r="AC14" s="81"/>
    </row>
    <row r="15" spans="1:29" s="4" customFormat="1" ht="23.25" customHeight="1">
      <c r="A15" s="50">
        <v>1.02</v>
      </c>
      <c r="B15" s="3"/>
      <c r="C15" s="37"/>
      <c r="D15" s="59" t="s">
        <v>70</v>
      </c>
      <c r="E15" s="73" t="s">
        <v>106</v>
      </c>
      <c r="F15" s="64">
        <v>18</v>
      </c>
      <c r="G15" s="57" t="s">
        <v>108</v>
      </c>
      <c r="H15" s="13"/>
      <c r="I15" s="13">
        <f t="shared" si="0"/>
        <v>0</v>
      </c>
      <c r="J15" s="13">
        <f t="shared" si="1"/>
        <v>0</v>
      </c>
      <c r="K15" s="13"/>
      <c r="L15" s="13">
        <f t="shared" si="2"/>
        <v>0</v>
      </c>
      <c r="M15" s="62">
        <f>((13*9361.68)+(7*28763.28))*2/F15</f>
        <v>35893.86666666667</v>
      </c>
      <c r="N15" s="13">
        <f t="shared" si="3"/>
        <v>646089.6000000001</v>
      </c>
      <c r="O15" s="13"/>
      <c r="P15" s="13">
        <f t="shared" si="4"/>
        <v>0</v>
      </c>
      <c r="Q15" s="38"/>
      <c r="R15" s="13">
        <f t="shared" si="5"/>
        <v>0</v>
      </c>
      <c r="S15" s="13">
        <f t="shared" si="6"/>
        <v>646089.6000000001</v>
      </c>
      <c r="T15" s="38">
        <v>0.5</v>
      </c>
      <c r="U15" s="13">
        <f t="shared" si="7"/>
        <v>323044.80000000005</v>
      </c>
      <c r="V15" s="13">
        <f t="shared" si="8"/>
        <v>969134.4000000001</v>
      </c>
      <c r="W15" s="3"/>
      <c r="X15" s="3"/>
      <c r="Y15" s="3"/>
      <c r="AB15" s="43"/>
      <c r="AC15" s="81"/>
    </row>
    <row r="16" spans="1:29" s="4" customFormat="1" ht="11.25">
      <c r="A16" s="50">
        <v>1.03</v>
      </c>
      <c r="B16" s="3"/>
      <c r="C16" s="37"/>
      <c r="D16" s="56"/>
      <c r="E16" s="37"/>
      <c r="F16" s="64"/>
      <c r="G16" s="57"/>
      <c r="H16" s="13"/>
      <c r="I16" s="13">
        <f t="shared" si="0"/>
        <v>0</v>
      </c>
      <c r="J16" s="13">
        <f t="shared" si="1"/>
        <v>0</v>
      </c>
      <c r="K16" s="13"/>
      <c r="L16" s="13">
        <f t="shared" si="2"/>
        <v>0</v>
      </c>
      <c r="M16" s="13"/>
      <c r="N16" s="13">
        <f t="shared" si="3"/>
        <v>0</v>
      </c>
      <c r="O16" s="13"/>
      <c r="P16" s="13">
        <f t="shared" si="4"/>
        <v>0</v>
      </c>
      <c r="Q16" s="38"/>
      <c r="R16" s="13">
        <f t="shared" si="5"/>
        <v>0</v>
      </c>
      <c r="S16" s="13">
        <f t="shared" si="6"/>
        <v>0</v>
      </c>
      <c r="T16" s="38"/>
      <c r="U16" s="13">
        <f t="shared" si="7"/>
        <v>0</v>
      </c>
      <c r="V16" s="13">
        <f t="shared" si="8"/>
        <v>0</v>
      </c>
      <c r="W16" s="3"/>
      <c r="X16" s="3"/>
      <c r="Y16" s="3"/>
      <c r="AB16" s="43"/>
      <c r="AC16" s="81"/>
    </row>
    <row r="17" spans="1:29" s="4" customFormat="1" ht="11.25">
      <c r="A17" s="50">
        <v>1.04</v>
      </c>
      <c r="B17" s="3"/>
      <c r="C17" s="37"/>
      <c r="D17" s="59" t="s">
        <v>81</v>
      </c>
      <c r="E17" s="37" t="s">
        <v>82</v>
      </c>
      <c r="F17" s="64"/>
      <c r="G17" s="57"/>
      <c r="H17" s="13"/>
      <c r="I17" s="13">
        <f aca="true" t="shared" si="9" ref="I17:I23">F17*H17</f>
        <v>0</v>
      </c>
      <c r="J17" s="13">
        <f t="shared" si="1"/>
        <v>0</v>
      </c>
      <c r="K17" s="13"/>
      <c r="L17" s="13">
        <f aca="true" t="shared" si="10" ref="L17:L23">F17*K17</f>
        <v>0</v>
      </c>
      <c r="M17" s="13"/>
      <c r="N17" s="13">
        <f aca="true" t="shared" si="11" ref="N17:N23">F17*M17</f>
        <v>0</v>
      </c>
      <c r="O17" s="13"/>
      <c r="P17" s="13">
        <f aca="true" t="shared" si="12" ref="P17:P23">F17*O17</f>
        <v>0</v>
      </c>
      <c r="Q17" s="38"/>
      <c r="R17" s="13">
        <f aca="true" t="shared" si="13" ref="R17:R23">(J17+L17+N17+P17)*Q17</f>
        <v>0</v>
      </c>
      <c r="S17" s="13">
        <f aca="true" t="shared" si="14" ref="S17:S23">J17+L17+N17+P17+R17</f>
        <v>0</v>
      </c>
      <c r="T17" s="38"/>
      <c r="U17" s="13">
        <f aca="true" t="shared" si="15" ref="U17:U23">S17*T17</f>
        <v>0</v>
      </c>
      <c r="V17" s="13">
        <f aca="true" t="shared" si="16" ref="V17:V23">S17+U17</f>
        <v>0</v>
      </c>
      <c r="W17" s="3"/>
      <c r="X17" s="3"/>
      <c r="Y17" s="3"/>
      <c r="AB17" s="43"/>
      <c r="AC17" s="81"/>
    </row>
    <row r="18" spans="1:29" s="4" customFormat="1" ht="11.25">
      <c r="A18" s="50">
        <v>1.05</v>
      </c>
      <c r="B18" s="3"/>
      <c r="C18" s="37"/>
      <c r="D18" s="56" t="s">
        <v>86</v>
      </c>
      <c r="E18" s="37" t="s">
        <v>85</v>
      </c>
      <c r="F18" s="64">
        <v>9</v>
      </c>
      <c r="G18" s="57" t="s">
        <v>83</v>
      </c>
      <c r="H18" s="13"/>
      <c r="I18" s="13">
        <f t="shared" si="9"/>
        <v>0</v>
      </c>
      <c r="J18" s="13">
        <f t="shared" si="1"/>
        <v>0</v>
      </c>
      <c r="K18" s="13"/>
      <c r="L18" s="13">
        <f t="shared" si="10"/>
        <v>0</v>
      </c>
      <c r="M18" s="65">
        <v>11877.51</v>
      </c>
      <c r="N18" s="13">
        <f t="shared" si="11"/>
        <v>106897.59</v>
      </c>
      <c r="O18" s="13"/>
      <c r="P18" s="13">
        <f t="shared" si="12"/>
        <v>0</v>
      </c>
      <c r="Q18" s="38"/>
      <c r="R18" s="13">
        <f t="shared" si="13"/>
        <v>0</v>
      </c>
      <c r="S18" s="13">
        <f t="shared" si="14"/>
        <v>106897.59</v>
      </c>
      <c r="T18" s="38">
        <v>0.5</v>
      </c>
      <c r="U18" s="13">
        <f t="shared" si="15"/>
        <v>53448.795</v>
      </c>
      <c r="V18" s="13">
        <f t="shared" si="16"/>
        <v>160346.385</v>
      </c>
      <c r="W18" s="3"/>
      <c r="X18" s="3"/>
      <c r="Y18" s="3"/>
      <c r="AB18" s="43"/>
      <c r="AC18" s="81"/>
    </row>
    <row r="19" spans="1:29" s="4" customFormat="1" ht="22.5">
      <c r="A19" s="50">
        <v>1.06</v>
      </c>
      <c r="B19" s="3"/>
      <c r="C19" s="37"/>
      <c r="D19" s="56" t="s">
        <v>88</v>
      </c>
      <c r="E19" s="37" t="s">
        <v>90</v>
      </c>
      <c r="F19" s="64">
        <f>4*2*15000</f>
        <v>120000</v>
      </c>
      <c r="G19" s="57" t="s">
        <v>84</v>
      </c>
      <c r="H19" s="13"/>
      <c r="I19" s="13">
        <f t="shared" si="9"/>
        <v>0</v>
      </c>
      <c r="J19" s="13">
        <f t="shared" si="1"/>
        <v>0</v>
      </c>
      <c r="K19" s="13"/>
      <c r="L19" s="13">
        <f t="shared" si="10"/>
        <v>0</v>
      </c>
      <c r="M19" s="62">
        <v>4.63</v>
      </c>
      <c r="N19" s="13">
        <f t="shared" si="11"/>
        <v>555600</v>
      </c>
      <c r="O19" s="13"/>
      <c r="P19" s="13">
        <f t="shared" si="12"/>
        <v>0</v>
      </c>
      <c r="Q19" s="38"/>
      <c r="R19" s="13">
        <f t="shared" si="13"/>
        <v>0</v>
      </c>
      <c r="S19" s="13">
        <f t="shared" si="14"/>
        <v>555600</v>
      </c>
      <c r="T19" s="38">
        <v>0.5</v>
      </c>
      <c r="U19" s="13">
        <f t="shared" si="15"/>
        <v>277800</v>
      </c>
      <c r="V19" s="13">
        <f t="shared" si="16"/>
        <v>833400</v>
      </c>
      <c r="W19" s="3"/>
      <c r="X19" s="3"/>
      <c r="Y19" s="3"/>
      <c r="AB19" s="43"/>
      <c r="AC19" s="81"/>
    </row>
    <row r="20" spans="1:29" s="4" customFormat="1" ht="11.25">
      <c r="A20" s="50">
        <v>1.07</v>
      </c>
      <c r="B20" s="3"/>
      <c r="C20" s="37"/>
      <c r="D20" s="56" t="s">
        <v>87</v>
      </c>
      <c r="E20" s="37" t="s">
        <v>92</v>
      </c>
      <c r="F20" s="64">
        <f>5*15000*0.15</f>
        <v>11250</v>
      </c>
      <c r="G20" s="57" t="s">
        <v>84</v>
      </c>
      <c r="H20" s="13"/>
      <c r="I20" s="13">
        <f t="shared" si="9"/>
        <v>0</v>
      </c>
      <c r="J20" s="13">
        <f t="shared" si="1"/>
        <v>0</v>
      </c>
      <c r="K20" s="13"/>
      <c r="L20" s="13">
        <f t="shared" si="10"/>
        <v>0</v>
      </c>
      <c r="M20" s="65">
        <v>12.57</v>
      </c>
      <c r="N20" s="13">
        <f t="shared" si="11"/>
        <v>141412.5</v>
      </c>
      <c r="O20" s="13"/>
      <c r="P20" s="13">
        <f t="shared" si="12"/>
        <v>0</v>
      </c>
      <c r="Q20" s="38"/>
      <c r="R20" s="13">
        <f t="shared" si="13"/>
        <v>0</v>
      </c>
      <c r="S20" s="13">
        <f t="shared" si="14"/>
        <v>141412.5</v>
      </c>
      <c r="T20" s="38">
        <v>0.5</v>
      </c>
      <c r="U20" s="13">
        <f t="shared" si="15"/>
        <v>70706.25</v>
      </c>
      <c r="V20" s="13">
        <f t="shared" si="16"/>
        <v>212118.75</v>
      </c>
      <c r="W20" s="3"/>
      <c r="X20" s="3"/>
      <c r="Y20" s="3"/>
      <c r="AB20" s="43"/>
      <c r="AC20" s="81"/>
    </row>
    <row r="21" spans="1:29" s="4" customFormat="1" ht="22.5">
      <c r="A21" s="50">
        <v>1.08</v>
      </c>
      <c r="B21" s="3"/>
      <c r="C21" s="37"/>
      <c r="D21" s="56" t="s">
        <v>91</v>
      </c>
      <c r="E21" s="37" t="s">
        <v>89</v>
      </c>
      <c r="F21" s="64">
        <f>8*15000*0.1</f>
        <v>12000</v>
      </c>
      <c r="G21" s="57" t="s">
        <v>84</v>
      </c>
      <c r="H21" s="13"/>
      <c r="I21" s="13">
        <f t="shared" si="9"/>
        <v>0</v>
      </c>
      <c r="J21" s="13">
        <f t="shared" si="1"/>
        <v>0</v>
      </c>
      <c r="K21" s="13"/>
      <c r="L21" s="13">
        <f t="shared" si="10"/>
        <v>0</v>
      </c>
      <c r="M21" s="62">
        <f>37.22+79.1+39.93+12.57</f>
        <v>168.82</v>
      </c>
      <c r="N21" s="13">
        <f t="shared" si="11"/>
        <v>2025840</v>
      </c>
      <c r="O21" s="13"/>
      <c r="P21" s="13">
        <f t="shared" si="12"/>
        <v>0</v>
      </c>
      <c r="Q21" s="38"/>
      <c r="R21" s="13">
        <f t="shared" si="13"/>
        <v>0</v>
      </c>
      <c r="S21" s="13">
        <f t="shared" si="14"/>
        <v>2025840</v>
      </c>
      <c r="T21" s="38">
        <v>0.5</v>
      </c>
      <c r="U21" s="13">
        <f t="shared" si="15"/>
        <v>1012920</v>
      </c>
      <c r="V21" s="13">
        <f t="shared" si="16"/>
        <v>3038760</v>
      </c>
      <c r="W21" s="3"/>
      <c r="X21" s="3"/>
      <c r="Y21" s="3"/>
      <c r="AB21" s="43"/>
      <c r="AC21" s="81"/>
    </row>
    <row r="22" spans="1:29" s="4" customFormat="1" ht="22.5">
      <c r="A22" s="50">
        <v>1.09</v>
      </c>
      <c r="B22" s="3"/>
      <c r="C22" s="37"/>
      <c r="D22" s="56" t="s">
        <v>127</v>
      </c>
      <c r="E22" s="37" t="s">
        <v>126</v>
      </c>
      <c r="F22" s="64">
        <v>1</v>
      </c>
      <c r="G22" s="57" t="s">
        <v>67</v>
      </c>
      <c r="H22" s="13"/>
      <c r="I22" s="13">
        <f t="shared" si="9"/>
        <v>0</v>
      </c>
      <c r="J22" s="13">
        <f t="shared" si="1"/>
        <v>0</v>
      </c>
      <c r="K22" s="13"/>
      <c r="L22" s="13">
        <f t="shared" si="10"/>
        <v>0</v>
      </c>
      <c r="M22" s="65">
        <v>889246.4787999999</v>
      </c>
      <c r="N22" s="13">
        <f t="shared" si="11"/>
        <v>889246.4787999999</v>
      </c>
      <c r="O22" s="13"/>
      <c r="P22" s="13">
        <f t="shared" si="12"/>
        <v>0</v>
      </c>
      <c r="Q22" s="38"/>
      <c r="R22" s="13">
        <f t="shared" si="13"/>
        <v>0</v>
      </c>
      <c r="S22" s="13">
        <f t="shared" si="14"/>
        <v>889246.4787999999</v>
      </c>
      <c r="T22" s="38">
        <v>0.5</v>
      </c>
      <c r="U22" s="13">
        <f t="shared" si="15"/>
        <v>444623.23939999996</v>
      </c>
      <c r="V22" s="13">
        <f t="shared" si="16"/>
        <v>1333869.7182</v>
      </c>
      <c r="W22" s="3"/>
      <c r="X22" s="3"/>
      <c r="Y22" s="3"/>
      <c r="AB22" s="43"/>
      <c r="AC22" s="81"/>
    </row>
    <row r="23" spans="1:29" s="4" customFormat="1" ht="11.25">
      <c r="A23" s="50">
        <v>1.1</v>
      </c>
      <c r="B23" s="3"/>
      <c r="C23" s="37"/>
      <c r="D23" s="56"/>
      <c r="E23" s="37"/>
      <c r="F23" s="64"/>
      <c r="G23" s="57"/>
      <c r="H23" s="13"/>
      <c r="I23" s="13">
        <f t="shared" si="9"/>
        <v>0</v>
      </c>
      <c r="J23" s="13">
        <f t="shared" si="1"/>
        <v>0</v>
      </c>
      <c r="K23" s="13"/>
      <c r="L23" s="13">
        <f t="shared" si="10"/>
        <v>0</v>
      </c>
      <c r="M23" s="13"/>
      <c r="N23" s="13">
        <f t="shared" si="11"/>
        <v>0</v>
      </c>
      <c r="O23" s="13"/>
      <c r="P23" s="13">
        <f t="shared" si="12"/>
        <v>0</v>
      </c>
      <c r="Q23" s="38"/>
      <c r="R23" s="13">
        <f t="shared" si="13"/>
        <v>0</v>
      </c>
      <c r="S23" s="13">
        <f t="shared" si="14"/>
        <v>0</v>
      </c>
      <c r="T23" s="38"/>
      <c r="U23" s="13">
        <f t="shared" si="15"/>
        <v>0</v>
      </c>
      <c r="V23" s="13">
        <f t="shared" si="16"/>
        <v>0</v>
      </c>
      <c r="W23" s="3"/>
      <c r="X23" s="3"/>
      <c r="Y23" s="3"/>
      <c r="AB23" s="43"/>
      <c r="AC23" s="81"/>
    </row>
    <row r="24" spans="1:29" s="4" customFormat="1" ht="11.25">
      <c r="A24" s="50">
        <v>1.11</v>
      </c>
      <c r="B24" s="3"/>
      <c r="C24" s="37"/>
      <c r="D24" s="59" t="s">
        <v>107</v>
      </c>
      <c r="E24" s="37"/>
      <c r="F24" s="64"/>
      <c r="G24" s="57"/>
      <c r="H24" s="13"/>
      <c r="I24" s="13">
        <f t="shared" si="0"/>
        <v>0</v>
      </c>
      <c r="J24" s="13">
        <f t="shared" si="1"/>
        <v>0</v>
      </c>
      <c r="K24" s="13"/>
      <c r="L24" s="13">
        <f t="shared" si="2"/>
        <v>0</v>
      </c>
      <c r="M24" s="13"/>
      <c r="N24" s="13">
        <f t="shared" si="3"/>
        <v>0</v>
      </c>
      <c r="O24" s="13"/>
      <c r="P24" s="13">
        <f t="shared" si="4"/>
        <v>0</v>
      </c>
      <c r="Q24" s="38"/>
      <c r="R24" s="13">
        <f t="shared" si="5"/>
        <v>0</v>
      </c>
      <c r="S24" s="13">
        <f t="shared" si="6"/>
        <v>0</v>
      </c>
      <c r="T24" s="38"/>
      <c r="U24" s="13">
        <f t="shared" si="7"/>
        <v>0</v>
      </c>
      <c r="V24" s="13">
        <f t="shared" si="8"/>
        <v>0</v>
      </c>
      <c r="W24" s="3"/>
      <c r="X24" s="3"/>
      <c r="Y24" s="3"/>
      <c r="AB24" s="43"/>
      <c r="AC24" s="81"/>
    </row>
    <row r="25" spans="1:29" s="4" customFormat="1" ht="11.25">
      <c r="A25" s="50">
        <v>1.12</v>
      </c>
      <c r="B25" s="3"/>
      <c r="C25" s="37"/>
      <c r="D25" s="56" t="s">
        <v>141</v>
      </c>
      <c r="E25" s="37" t="s">
        <v>101</v>
      </c>
      <c r="F25" s="64">
        <v>450000</v>
      </c>
      <c r="G25" s="57" t="s">
        <v>84</v>
      </c>
      <c r="H25" s="13"/>
      <c r="I25" s="13">
        <f t="shared" si="0"/>
        <v>0</v>
      </c>
      <c r="J25" s="13">
        <f t="shared" si="1"/>
        <v>0</v>
      </c>
      <c r="K25" s="13"/>
      <c r="L25" s="13">
        <f t="shared" si="2"/>
        <v>0</v>
      </c>
      <c r="M25" s="62">
        <v>4.9</v>
      </c>
      <c r="N25" s="13">
        <f t="shared" si="3"/>
        <v>2205000</v>
      </c>
      <c r="O25" s="13"/>
      <c r="P25" s="13">
        <f t="shared" si="4"/>
        <v>0</v>
      </c>
      <c r="Q25" s="38"/>
      <c r="R25" s="13">
        <f t="shared" si="5"/>
        <v>0</v>
      </c>
      <c r="S25" s="13">
        <f t="shared" si="6"/>
        <v>2205000</v>
      </c>
      <c r="T25" s="38">
        <v>0.5</v>
      </c>
      <c r="U25" s="13">
        <f t="shared" si="7"/>
        <v>1102500</v>
      </c>
      <c r="V25" s="13">
        <f t="shared" si="8"/>
        <v>3307500</v>
      </c>
      <c r="W25" s="3"/>
      <c r="X25" s="3"/>
      <c r="Y25" s="3"/>
      <c r="AB25" s="43"/>
      <c r="AC25" s="81"/>
    </row>
    <row r="26" spans="1:29" s="4" customFormat="1" ht="11.25">
      <c r="A26" s="50">
        <v>1.13</v>
      </c>
      <c r="B26" s="3"/>
      <c r="C26" s="37"/>
      <c r="D26" s="56" t="s">
        <v>142</v>
      </c>
      <c r="E26" s="37" t="s">
        <v>101</v>
      </c>
      <c r="F26" s="64">
        <v>500000</v>
      </c>
      <c r="G26" s="57" t="s">
        <v>84</v>
      </c>
      <c r="H26" s="13"/>
      <c r="I26" s="13">
        <f t="shared" si="0"/>
        <v>0</v>
      </c>
      <c r="J26" s="13">
        <f t="shared" si="1"/>
        <v>0</v>
      </c>
      <c r="K26" s="13"/>
      <c r="L26" s="13">
        <f t="shared" si="2"/>
        <v>0</v>
      </c>
      <c r="M26" s="62">
        <v>4.9</v>
      </c>
      <c r="N26" s="13">
        <f t="shared" si="3"/>
        <v>2450000</v>
      </c>
      <c r="O26" s="13"/>
      <c r="P26" s="13">
        <f t="shared" si="4"/>
        <v>0</v>
      </c>
      <c r="Q26" s="38"/>
      <c r="R26" s="13">
        <f t="shared" si="5"/>
        <v>0</v>
      </c>
      <c r="S26" s="13">
        <f t="shared" si="6"/>
        <v>2450000</v>
      </c>
      <c r="T26" s="38">
        <v>0.5</v>
      </c>
      <c r="U26" s="13">
        <f t="shared" si="7"/>
        <v>1225000</v>
      </c>
      <c r="V26" s="13">
        <f t="shared" si="8"/>
        <v>3675000</v>
      </c>
      <c r="W26" s="3"/>
      <c r="X26" s="3"/>
      <c r="Y26" s="3"/>
      <c r="AB26" s="43"/>
      <c r="AC26" s="81"/>
    </row>
    <row r="27" spans="1:29" s="4" customFormat="1" ht="11.25">
      <c r="A27" s="50">
        <v>1.14</v>
      </c>
      <c r="B27" s="3"/>
      <c r="C27" s="37"/>
      <c r="D27" s="56"/>
      <c r="E27" s="37"/>
      <c r="F27" s="64"/>
      <c r="G27" s="57"/>
      <c r="H27" s="13"/>
      <c r="I27" s="13">
        <f t="shared" si="0"/>
        <v>0</v>
      </c>
      <c r="J27" s="13">
        <f t="shared" si="1"/>
        <v>0</v>
      </c>
      <c r="K27" s="13"/>
      <c r="L27" s="13">
        <f t="shared" si="2"/>
        <v>0</v>
      </c>
      <c r="M27" s="13"/>
      <c r="N27" s="13">
        <f t="shared" si="3"/>
        <v>0</v>
      </c>
      <c r="O27" s="13"/>
      <c r="P27" s="13">
        <f t="shared" si="4"/>
        <v>0</v>
      </c>
      <c r="Q27" s="38"/>
      <c r="R27" s="13">
        <f t="shared" si="5"/>
        <v>0</v>
      </c>
      <c r="S27" s="13">
        <f t="shared" si="6"/>
        <v>0</v>
      </c>
      <c r="T27" s="38"/>
      <c r="U27" s="13">
        <f t="shared" si="7"/>
        <v>0</v>
      </c>
      <c r="V27" s="13">
        <f t="shared" si="8"/>
        <v>0</v>
      </c>
      <c r="W27" s="3"/>
      <c r="X27" s="3"/>
      <c r="Y27" s="3"/>
      <c r="AB27" s="43"/>
      <c r="AC27" s="81"/>
    </row>
    <row r="28" spans="1:29" s="4" customFormat="1" ht="11.25">
      <c r="A28" s="50">
        <v>1.15</v>
      </c>
      <c r="B28" s="3"/>
      <c r="C28" s="37"/>
      <c r="D28" s="59" t="s">
        <v>129</v>
      </c>
      <c r="E28" s="37"/>
      <c r="F28" s="64"/>
      <c r="G28" s="57"/>
      <c r="H28" s="13"/>
      <c r="I28" s="13">
        <f>F28*H28</f>
        <v>0</v>
      </c>
      <c r="J28" s="13">
        <f aca="true" t="shared" si="17" ref="J28:J39">I28*$L$8</f>
        <v>0</v>
      </c>
      <c r="K28" s="13"/>
      <c r="L28" s="13">
        <f>F28*K28</f>
        <v>0</v>
      </c>
      <c r="M28" s="13"/>
      <c r="N28" s="13">
        <f>F28*M28</f>
        <v>0</v>
      </c>
      <c r="O28" s="13"/>
      <c r="P28" s="13">
        <f>F28*O28</f>
        <v>0</v>
      </c>
      <c r="Q28" s="38"/>
      <c r="R28" s="13">
        <f>(J28+L28+N28+P28)*Q28</f>
        <v>0</v>
      </c>
      <c r="S28" s="13">
        <f>J28+L28+N28+P28+R28</f>
        <v>0</v>
      </c>
      <c r="T28" s="38"/>
      <c r="U28" s="13">
        <f>S28*T28</f>
        <v>0</v>
      </c>
      <c r="V28" s="13">
        <f>S28+U28</f>
        <v>0</v>
      </c>
      <c r="W28" s="3"/>
      <c r="X28" s="3"/>
      <c r="Y28" s="3"/>
      <c r="AB28" s="43"/>
      <c r="AC28" s="81"/>
    </row>
    <row r="29" spans="1:29" s="4" customFormat="1" ht="22.5">
      <c r="A29" s="50">
        <v>1.16</v>
      </c>
      <c r="B29" s="3"/>
      <c r="C29" s="37"/>
      <c r="D29" s="56" t="s">
        <v>130</v>
      </c>
      <c r="E29" s="37" t="s">
        <v>89</v>
      </c>
      <c r="F29" s="64">
        <v>1350</v>
      </c>
      <c r="G29" s="57" t="s">
        <v>84</v>
      </c>
      <c r="H29" s="13"/>
      <c r="I29" s="13">
        <f>F29*H29</f>
        <v>0</v>
      </c>
      <c r="J29" s="13">
        <f t="shared" si="17"/>
        <v>0</v>
      </c>
      <c r="K29" s="13"/>
      <c r="L29" s="13">
        <f>F29*K29</f>
        <v>0</v>
      </c>
      <c r="M29" s="62">
        <f>37.22+79.1+39.93+12.57</f>
        <v>168.82</v>
      </c>
      <c r="N29" s="13">
        <f>F29*M29</f>
        <v>227907</v>
      </c>
      <c r="O29" s="13"/>
      <c r="P29" s="13">
        <f>F29*O29</f>
        <v>0</v>
      </c>
      <c r="Q29" s="38"/>
      <c r="R29" s="13">
        <f>(J29+L29+N29+P29)*Q29</f>
        <v>0</v>
      </c>
      <c r="S29" s="13">
        <f>J29+L29+N29+P29+R29</f>
        <v>227907</v>
      </c>
      <c r="T29" s="38">
        <v>0.5</v>
      </c>
      <c r="U29" s="13">
        <f>S29*T29</f>
        <v>113953.5</v>
      </c>
      <c r="V29" s="13">
        <f>S29+U29</f>
        <v>341860.5</v>
      </c>
      <c r="W29" s="3"/>
      <c r="X29" s="3"/>
      <c r="Y29" s="3"/>
      <c r="AB29" s="43"/>
      <c r="AC29" s="81"/>
    </row>
    <row r="30" spans="1:29" s="4" customFormat="1" ht="11.25">
      <c r="A30" s="50">
        <v>1.17</v>
      </c>
      <c r="B30" s="3"/>
      <c r="C30" s="37"/>
      <c r="D30" s="56"/>
      <c r="E30" s="37"/>
      <c r="F30" s="64"/>
      <c r="G30" s="57"/>
      <c r="H30" s="13"/>
      <c r="I30" s="13">
        <f>F30*H30</f>
        <v>0</v>
      </c>
      <c r="J30" s="13">
        <f t="shared" si="17"/>
        <v>0</v>
      </c>
      <c r="K30" s="13"/>
      <c r="L30" s="13">
        <f>F30*K30</f>
        <v>0</v>
      </c>
      <c r="M30" s="13"/>
      <c r="N30" s="13">
        <f>F30*M30</f>
        <v>0</v>
      </c>
      <c r="O30" s="13"/>
      <c r="P30" s="13">
        <f>F30*O30</f>
        <v>0</v>
      </c>
      <c r="Q30" s="38"/>
      <c r="R30" s="13">
        <f>(J30+L30+N30+P30)*Q30</f>
        <v>0</v>
      </c>
      <c r="S30" s="13">
        <f>J30+L30+N30+P30+R30</f>
        <v>0</v>
      </c>
      <c r="T30" s="38"/>
      <c r="U30" s="13">
        <f>S30*T30</f>
        <v>0</v>
      </c>
      <c r="V30" s="13">
        <f>S30+U30</f>
        <v>0</v>
      </c>
      <c r="W30" s="3"/>
      <c r="X30" s="3"/>
      <c r="Y30" s="3"/>
      <c r="AB30" s="43"/>
      <c r="AC30" s="81"/>
    </row>
    <row r="31" spans="1:29" s="4" customFormat="1" ht="11.25">
      <c r="A31" s="50">
        <v>1.18</v>
      </c>
      <c r="B31" s="3"/>
      <c r="C31" s="37"/>
      <c r="D31" s="59" t="s">
        <v>110</v>
      </c>
      <c r="E31" s="37"/>
      <c r="F31" s="64"/>
      <c r="G31" s="57"/>
      <c r="H31" s="13"/>
      <c r="I31" s="13">
        <f aca="true" t="shared" si="18" ref="I31:I40">F31*H31</f>
        <v>0</v>
      </c>
      <c r="J31" s="13">
        <f t="shared" si="17"/>
        <v>0</v>
      </c>
      <c r="K31" s="13"/>
      <c r="L31" s="13">
        <f aca="true" t="shared" si="19" ref="L31:L40">F31*K31</f>
        <v>0</v>
      </c>
      <c r="M31" s="13"/>
      <c r="N31" s="13">
        <f aca="true" t="shared" si="20" ref="N31:N40">F31*M31</f>
        <v>0</v>
      </c>
      <c r="O31" s="13"/>
      <c r="P31" s="13">
        <f aca="true" t="shared" si="21" ref="P31:P40">F31*O31</f>
        <v>0</v>
      </c>
      <c r="Q31" s="38"/>
      <c r="R31" s="13">
        <f aca="true" t="shared" si="22" ref="R31:R40">(J31+L31+N31+P31)*Q31</f>
        <v>0</v>
      </c>
      <c r="S31" s="13">
        <f aca="true" t="shared" si="23" ref="S31:S40">J31+L31+N31+P31+R31</f>
        <v>0</v>
      </c>
      <c r="T31" s="38"/>
      <c r="U31" s="13">
        <f aca="true" t="shared" si="24" ref="U31:U40">S31*T31</f>
        <v>0</v>
      </c>
      <c r="V31" s="13">
        <f aca="true" t="shared" si="25" ref="V31:V40">S31+U31</f>
        <v>0</v>
      </c>
      <c r="W31" s="3"/>
      <c r="X31" s="3"/>
      <c r="Y31" s="3"/>
      <c r="AB31" s="43"/>
      <c r="AC31" s="81"/>
    </row>
    <row r="32" spans="1:29" s="4" customFormat="1" ht="11.25">
      <c r="A32" s="50">
        <v>1.19</v>
      </c>
      <c r="B32" s="3"/>
      <c r="C32" s="37"/>
      <c r="D32" s="56" t="s">
        <v>111</v>
      </c>
      <c r="E32" s="37" t="s">
        <v>112</v>
      </c>
      <c r="F32" s="64">
        <v>1</v>
      </c>
      <c r="G32" s="57" t="s">
        <v>108</v>
      </c>
      <c r="H32" s="13"/>
      <c r="I32" s="13">
        <f t="shared" si="18"/>
        <v>0</v>
      </c>
      <c r="J32" s="13">
        <f t="shared" si="17"/>
        <v>0</v>
      </c>
      <c r="K32" s="13"/>
      <c r="L32" s="13">
        <f t="shared" si="19"/>
        <v>0</v>
      </c>
      <c r="M32" s="62">
        <v>20000</v>
      </c>
      <c r="N32" s="13">
        <f t="shared" si="20"/>
        <v>20000</v>
      </c>
      <c r="O32" s="13"/>
      <c r="P32" s="13">
        <f t="shared" si="21"/>
        <v>0</v>
      </c>
      <c r="Q32" s="38"/>
      <c r="R32" s="13">
        <f t="shared" si="22"/>
        <v>0</v>
      </c>
      <c r="S32" s="13">
        <f t="shared" si="23"/>
        <v>20000</v>
      </c>
      <c r="T32" s="38">
        <v>0.5</v>
      </c>
      <c r="U32" s="13">
        <f t="shared" si="24"/>
        <v>10000</v>
      </c>
      <c r="V32" s="13">
        <f t="shared" si="25"/>
        <v>30000</v>
      </c>
      <c r="W32" s="3"/>
      <c r="X32" s="3"/>
      <c r="Y32" s="3"/>
      <c r="AB32" s="43"/>
      <c r="AC32" s="81"/>
    </row>
    <row r="33" spans="1:29" s="4" customFormat="1" ht="11.25">
      <c r="A33" s="50">
        <v>1.2</v>
      </c>
      <c r="B33" s="3"/>
      <c r="C33" s="37"/>
      <c r="D33" s="56" t="s">
        <v>113</v>
      </c>
      <c r="E33" s="37"/>
      <c r="F33" s="64"/>
      <c r="G33" s="57"/>
      <c r="H33" s="13"/>
      <c r="I33" s="13">
        <f t="shared" si="18"/>
        <v>0</v>
      </c>
      <c r="J33" s="13">
        <f t="shared" si="17"/>
        <v>0</v>
      </c>
      <c r="K33" s="13"/>
      <c r="L33" s="13">
        <f t="shared" si="19"/>
        <v>0</v>
      </c>
      <c r="M33" s="13"/>
      <c r="N33" s="13">
        <f t="shared" si="20"/>
        <v>0</v>
      </c>
      <c r="O33" s="13"/>
      <c r="P33" s="13">
        <f t="shared" si="21"/>
        <v>0</v>
      </c>
      <c r="Q33" s="38"/>
      <c r="R33" s="13">
        <f t="shared" si="22"/>
        <v>0</v>
      </c>
      <c r="S33" s="13">
        <f t="shared" si="23"/>
        <v>0</v>
      </c>
      <c r="T33" s="38"/>
      <c r="U33" s="13">
        <f t="shared" si="24"/>
        <v>0</v>
      </c>
      <c r="V33" s="13">
        <f t="shared" si="25"/>
        <v>0</v>
      </c>
      <c r="W33" s="3"/>
      <c r="X33" s="3"/>
      <c r="Y33" s="3"/>
      <c r="AB33" s="43"/>
      <c r="AC33" s="81"/>
    </row>
    <row r="34" spans="1:29" s="4" customFormat="1" ht="11.25">
      <c r="A34" s="50">
        <v>1.21</v>
      </c>
      <c r="B34" s="3"/>
      <c r="C34" s="37"/>
      <c r="D34" s="67" t="s">
        <v>116</v>
      </c>
      <c r="E34" s="37" t="s">
        <v>114</v>
      </c>
      <c r="F34" s="64">
        <v>900</v>
      </c>
      <c r="G34" s="57" t="s">
        <v>109</v>
      </c>
      <c r="H34" s="65"/>
      <c r="I34" s="13">
        <f t="shared" si="18"/>
        <v>0</v>
      </c>
      <c r="J34" s="13">
        <f t="shared" si="17"/>
        <v>0</v>
      </c>
      <c r="K34" s="65"/>
      <c r="L34" s="13">
        <f t="shared" si="19"/>
        <v>0</v>
      </c>
      <c r="M34" s="65">
        <f>(7.31*100)+204.27</f>
        <v>935.27</v>
      </c>
      <c r="N34" s="13">
        <f t="shared" si="20"/>
        <v>841743</v>
      </c>
      <c r="O34" s="13"/>
      <c r="P34" s="13">
        <f t="shared" si="21"/>
        <v>0</v>
      </c>
      <c r="Q34" s="38"/>
      <c r="R34" s="13">
        <f t="shared" si="22"/>
        <v>0</v>
      </c>
      <c r="S34" s="13">
        <f t="shared" si="23"/>
        <v>841743</v>
      </c>
      <c r="T34" s="38">
        <v>0.5</v>
      </c>
      <c r="U34" s="13">
        <f t="shared" si="24"/>
        <v>420871.5</v>
      </c>
      <c r="V34" s="13">
        <f t="shared" si="25"/>
        <v>1262614.5</v>
      </c>
      <c r="W34" s="3"/>
      <c r="X34" s="3"/>
      <c r="Y34" s="3"/>
      <c r="AB34" s="43"/>
      <c r="AC34" s="81"/>
    </row>
    <row r="35" spans="1:29" s="4" customFormat="1" ht="11.25">
      <c r="A35" s="50">
        <v>1.22</v>
      </c>
      <c r="B35" s="3"/>
      <c r="C35" s="37"/>
      <c r="D35" s="67" t="s">
        <v>115</v>
      </c>
      <c r="E35" s="37" t="s">
        <v>117</v>
      </c>
      <c r="F35" s="64">
        <v>46</v>
      </c>
      <c r="G35" s="57" t="s">
        <v>108</v>
      </c>
      <c r="H35" s="13"/>
      <c r="I35" s="13">
        <f t="shared" si="18"/>
        <v>0</v>
      </c>
      <c r="J35" s="13">
        <f>I35*$L$8</f>
        <v>0</v>
      </c>
      <c r="K35" s="13"/>
      <c r="L35" s="13">
        <f t="shared" si="19"/>
        <v>0</v>
      </c>
      <c r="M35" s="62">
        <v>150</v>
      </c>
      <c r="N35" s="13">
        <f t="shared" si="20"/>
        <v>6900</v>
      </c>
      <c r="O35" s="13"/>
      <c r="P35" s="13">
        <f t="shared" si="21"/>
        <v>0</v>
      </c>
      <c r="Q35" s="38"/>
      <c r="R35" s="13">
        <f t="shared" si="22"/>
        <v>0</v>
      </c>
      <c r="S35" s="13">
        <f t="shared" si="23"/>
        <v>6900</v>
      </c>
      <c r="T35" s="38">
        <v>0.5</v>
      </c>
      <c r="U35" s="13">
        <f t="shared" si="24"/>
        <v>3450</v>
      </c>
      <c r="V35" s="13">
        <f t="shared" si="25"/>
        <v>10350</v>
      </c>
      <c r="W35" s="3"/>
      <c r="X35" s="3"/>
      <c r="Y35" s="3"/>
      <c r="AB35" s="43"/>
      <c r="AC35" s="81"/>
    </row>
    <row r="36" spans="1:29" s="4" customFormat="1" ht="11.25">
      <c r="A36" s="50">
        <v>1.23</v>
      </c>
      <c r="B36" s="3"/>
      <c r="C36" s="37"/>
      <c r="D36" s="56"/>
      <c r="E36" s="37"/>
      <c r="F36" s="64"/>
      <c r="G36" s="57"/>
      <c r="H36" s="13"/>
      <c r="I36" s="13">
        <f t="shared" si="18"/>
        <v>0</v>
      </c>
      <c r="J36" s="13">
        <f>I36*$L$8</f>
        <v>0</v>
      </c>
      <c r="K36" s="13"/>
      <c r="L36" s="13">
        <f t="shared" si="19"/>
        <v>0</v>
      </c>
      <c r="M36" s="13"/>
      <c r="N36" s="13">
        <f t="shared" si="20"/>
        <v>0</v>
      </c>
      <c r="O36" s="13"/>
      <c r="P36" s="13">
        <f t="shared" si="21"/>
        <v>0</v>
      </c>
      <c r="Q36" s="38"/>
      <c r="R36" s="13">
        <f t="shared" si="22"/>
        <v>0</v>
      </c>
      <c r="S36" s="13">
        <f t="shared" si="23"/>
        <v>0</v>
      </c>
      <c r="T36" s="38"/>
      <c r="U36" s="13">
        <f t="shared" si="24"/>
        <v>0</v>
      </c>
      <c r="V36" s="13">
        <f t="shared" si="25"/>
        <v>0</v>
      </c>
      <c r="W36" s="3"/>
      <c r="X36" s="3"/>
      <c r="Y36" s="3"/>
      <c r="AB36" s="43"/>
      <c r="AC36" s="81"/>
    </row>
    <row r="37" spans="1:29" s="4" customFormat="1" ht="11.25">
      <c r="A37" s="50">
        <v>1.24</v>
      </c>
      <c r="B37" s="3"/>
      <c r="C37" s="37"/>
      <c r="D37" s="56" t="s">
        <v>122</v>
      </c>
      <c r="E37" s="37"/>
      <c r="F37" s="64"/>
      <c r="G37" s="57"/>
      <c r="H37" s="13"/>
      <c r="I37" s="13">
        <f t="shared" si="18"/>
        <v>0</v>
      </c>
      <c r="J37" s="13">
        <f t="shared" si="17"/>
        <v>0</v>
      </c>
      <c r="K37" s="13"/>
      <c r="L37" s="13">
        <f t="shared" si="19"/>
        <v>0</v>
      </c>
      <c r="M37" s="13"/>
      <c r="N37" s="13">
        <f t="shared" si="20"/>
        <v>0</v>
      </c>
      <c r="O37" s="13"/>
      <c r="P37" s="13">
        <f t="shared" si="21"/>
        <v>0</v>
      </c>
      <c r="Q37" s="38"/>
      <c r="R37" s="13">
        <f t="shared" si="22"/>
        <v>0</v>
      </c>
      <c r="S37" s="13">
        <f t="shared" si="23"/>
        <v>0</v>
      </c>
      <c r="T37" s="38"/>
      <c r="U37" s="13">
        <f t="shared" si="24"/>
        <v>0</v>
      </c>
      <c r="V37" s="13">
        <f t="shared" si="25"/>
        <v>0</v>
      </c>
      <c r="W37" s="3"/>
      <c r="X37" s="3"/>
      <c r="Y37" s="3"/>
      <c r="AB37" s="43"/>
      <c r="AC37" s="81"/>
    </row>
    <row r="38" spans="1:29" s="4" customFormat="1" ht="22.5">
      <c r="A38" s="50">
        <v>1.25</v>
      </c>
      <c r="B38" s="3"/>
      <c r="C38" s="37"/>
      <c r="D38" s="67" t="s">
        <v>121</v>
      </c>
      <c r="E38" s="37" t="s">
        <v>118</v>
      </c>
      <c r="F38" s="64">
        <v>6</v>
      </c>
      <c r="G38" s="57" t="s">
        <v>108</v>
      </c>
      <c r="H38" s="13"/>
      <c r="I38" s="13">
        <f t="shared" si="18"/>
        <v>0</v>
      </c>
      <c r="J38" s="13">
        <f>I38*$L$8</f>
        <v>0</v>
      </c>
      <c r="K38" s="13"/>
      <c r="L38" s="13">
        <f t="shared" si="19"/>
        <v>0</v>
      </c>
      <c r="M38" s="65">
        <v>5000</v>
      </c>
      <c r="N38" s="13">
        <f t="shared" si="20"/>
        <v>30000</v>
      </c>
      <c r="O38" s="13"/>
      <c r="P38" s="13">
        <f t="shared" si="21"/>
        <v>0</v>
      </c>
      <c r="Q38" s="38"/>
      <c r="R38" s="13">
        <f t="shared" si="22"/>
        <v>0</v>
      </c>
      <c r="S38" s="13">
        <f t="shared" si="23"/>
        <v>30000</v>
      </c>
      <c r="T38" s="38">
        <v>0.5</v>
      </c>
      <c r="U38" s="13">
        <f t="shared" si="24"/>
        <v>15000</v>
      </c>
      <c r="V38" s="13">
        <f t="shared" si="25"/>
        <v>45000</v>
      </c>
      <c r="W38" s="3"/>
      <c r="X38" s="3"/>
      <c r="Y38" s="3"/>
      <c r="AB38" s="43"/>
      <c r="AC38" s="81"/>
    </row>
    <row r="39" spans="1:29" s="4" customFormat="1" ht="11.25">
      <c r="A39" s="50">
        <v>1.26</v>
      </c>
      <c r="B39" s="3"/>
      <c r="C39" s="37"/>
      <c r="D39" s="67" t="s">
        <v>116</v>
      </c>
      <c r="E39" s="37" t="s">
        <v>120</v>
      </c>
      <c r="F39" s="64">
        <v>6</v>
      </c>
      <c r="G39" s="57" t="s">
        <v>108</v>
      </c>
      <c r="H39" s="65"/>
      <c r="I39" s="13">
        <f t="shared" si="18"/>
        <v>0</v>
      </c>
      <c r="J39" s="13">
        <f t="shared" si="17"/>
        <v>0</v>
      </c>
      <c r="K39" s="65"/>
      <c r="L39" s="13">
        <f t="shared" si="19"/>
        <v>0</v>
      </c>
      <c r="M39" s="65">
        <f>(14.4*100)</f>
        <v>1440</v>
      </c>
      <c r="N39" s="13">
        <f t="shared" si="20"/>
        <v>8640</v>
      </c>
      <c r="O39" s="13"/>
      <c r="P39" s="13">
        <f t="shared" si="21"/>
        <v>0</v>
      </c>
      <c r="Q39" s="38"/>
      <c r="R39" s="13">
        <f t="shared" si="22"/>
        <v>0</v>
      </c>
      <c r="S39" s="13">
        <f t="shared" si="23"/>
        <v>8640</v>
      </c>
      <c r="T39" s="38">
        <v>0.5</v>
      </c>
      <c r="U39" s="13">
        <f t="shared" si="24"/>
        <v>4320</v>
      </c>
      <c r="V39" s="13">
        <f t="shared" si="25"/>
        <v>12960</v>
      </c>
      <c r="W39" s="3"/>
      <c r="X39" s="3"/>
      <c r="Y39" s="3"/>
      <c r="AB39" s="43"/>
      <c r="AC39" s="81"/>
    </row>
    <row r="40" spans="1:29" s="4" customFormat="1" ht="11.25">
      <c r="A40" s="50">
        <v>1.27</v>
      </c>
      <c r="B40" s="3"/>
      <c r="C40" s="37"/>
      <c r="D40" s="67" t="s">
        <v>115</v>
      </c>
      <c r="E40" s="37" t="s">
        <v>119</v>
      </c>
      <c r="F40" s="64">
        <v>46</v>
      </c>
      <c r="G40" s="57" t="s">
        <v>108</v>
      </c>
      <c r="H40" s="13"/>
      <c r="I40" s="13">
        <f t="shared" si="18"/>
        <v>0</v>
      </c>
      <c r="J40" s="13">
        <f>I40*$L$8</f>
        <v>0</v>
      </c>
      <c r="K40" s="13"/>
      <c r="L40" s="13">
        <f t="shared" si="19"/>
        <v>0</v>
      </c>
      <c r="M40" s="62">
        <v>50</v>
      </c>
      <c r="N40" s="13">
        <f t="shared" si="20"/>
        <v>2300</v>
      </c>
      <c r="O40" s="13"/>
      <c r="P40" s="13">
        <f t="shared" si="21"/>
        <v>0</v>
      </c>
      <c r="Q40" s="38"/>
      <c r="R40" s="13">
        <f t="shared" si="22"/>
        <v>0</v>
      </c>
      <c r="S40" s="13">
        <f t="shared" si="23"/>
        <v>2300</v>
      </c>
      <c r="T40" s="38">
        <v>0.5</v>
      </c>
      <c r="U40" s="13">
        <f t="shared" si="24"/>
        <v>1150</v>
      </c>
      <c r="V40" s="13">
        <f t="shared" si="25"/>
        <v>3450</v>
      </c>
      <c r="W40" s="3"/>
      <c r="X40" s="3"/>
      <c r="Y40" s="3"/>
      <c r="AB40" s="43"/>
      <c r="AC40" s="81"/>
    </row>
    <row r="41" spans="1:29" s="4" customFormat="1" ht="11.25">
      <c r="A41" s="50">
        <v>1.28</v>
      </c>
      <c r="B41" s="3"/>
      <c r="C41" s="37"/>
      <c r="D41" s="56"/>
      <c r="E41" s="37"/>
      <c r="F41" s="64"/>
      <c r="G41" s="57"/>
      <c r="H41" s="13"/>
      <c r="I41" s="13">
        <f>F41*H41</f>
        <v>0</v>
      </c>
      <c r="J41" s="13">
        <f>I41*$L$8</f>
        <v>0</v>
      </c>
      <c r="K41" s="13"/>
      <c r="L41" s="13">
        <f>F41*K41</f>
        <v>0</v>
      </c>
      <c r="M41" s="13"/>
      <c r="N41" s="13">
        <f>F41*M41</f>
        <v>0</v>
      </c>
      <c r="O41" s="13"/>
      <c r="P41" s="13">
        <f>F41*O41</f>
        <v>0</v>
      </c>
      <c r="Q41" s="38"/>
      <c r="R41" s="13">
        <f>(J41+L41+N41+P41)*Q41</f>
        <v>0</v>
      </c>
      <c r="S41" s="13">
        <f>J41+L41+N41+P41+R41</f>
        <v>0</v>
      </c>
      <c r="T41" s="38"/>
      <c r="U41" s="13">
        <f>S41*T41</f>
        <v>0</v>
      </c>
      <c r="V41" s="13">
        <f>S41+U41</f>
        <v>0</v>
      </c>
      <c r="W41" s="3"/>
      <c r="X41" s="3"/>
      <c r="Y41" s="3"/>
      <c r="AB41" s="43"/>
      <c r="AC41" s="81"/>
    </row>
    <row r="42" spans="1:29" s="4" customFormat="1" ht="11.25">
      <c r="A42" s="50">
        <v>1.29</v>
      </c>
      <c r="B42" s="3"/>
      <c r="C42" s="37"/>
      <c r="D42" s="59" t="s">
        <v>71</v>
      </c>
      <c r="E42" s="37"/>
      <c r="F42" s="64"/>
      <c r="G42" s="57"/>
      <c r="H42" s="13"/>
      <c r="I42" s="13">
        <f aca="true" t="shared" si="26" ref="I42:I65">F42*H42</f>
        <v>0</v>
      </c>
      <c r="J42" s="13">
        <f>I42*$L$8</f>
        <v>0</v>
      </c>
      <c r="K42" s="13"/>
      <c r="L42" s="13">
        <f aca="true" t="shared" si="27" ref="L42:L65">F42*K42</f>
        <v>0</v>
      </c>
      <c r="M42" s="13"/>
      <c r="N42" s="13">
        <f aca="true" t="shared" si="28" ref="N42:N65">F42*M42</f>
        <v>0</v>
      </c>
      <c r="O42" s="13"/>
      <c r="P42" s="13">
        <f aca="true" t="shared" si="29" ref="P42:P65">F42*O42</f>
        <v>0</v>
      </c>
      <c r="Q42" s="38"/>
      <c r="R42" s="13">
        <f aca="true" t="shared" si="30" ref="R42:R65">(J42+L42+N42+P42)*Q42</f>
        <v>0</v>
      </c>
      <c r="S42" s="13">
        <f aca="true" t="shared" si="31" ref="S42:S65">J42+L42+N42+P42+R42</f>
        <v>0</v>
      </c>
      <c r="T42" s="38"/>
      <c r="U42" s="13">
        <f aca="true" t="shared" si="32" ref="U42:U65">S42*T42</f>
        <v>0</v>
      </c>
      <c r="V42" s="13">
        <f aca="true" t="shared" si="33" ref="V42:V65">S42+U42</f>
        <v>0</v>
      </c>
      <c r="W42" s="3"/>
      <c r="X42" s="3"/>
      <c r="Y42" s="3"/>
      <c r="AB42" s="43"/>
      <c r="AC42" s="81"/>
    </row>
    <row r="43" spans="1:29" s="4" customFormat="1" ht="11.25">
      <c r="A43" s="50">
        <v>1.3</v>
      </c>
      <c r="B43" s="3"/>
      <c r="C43" s="37"/>
      <c r="D43" s="56" t="s">
        <v>131</v>
      </c>
      <c r="E43" s="37" t="s">
        <v>132</v>
      </c>
      <c r="F43" s="64">
        <f>4.5*30.4</f>
        <v>136.79999999999998</v>
      </c>
      <c r="G43" s="57" t="s">
        <v>77</v>
      </c>
      <c r="H43" s="13"/>
      <c r="I43" s="13">
        <f t="shared" si="26"/>
        <v>0</v>
      </c>
      <c r="J43" s="13">
        <f aca="true" t="shared" si="34" ref="J43:J65">I43*$L$8</f>
        <v>0</v>
      </c>
      <c r="K43" s="13"/>
      <c r="L43" s="13">
        <f t="shared" si="27"/>
        <v>0</v>
      </c>
      <c r="M43" s="65">
        <f>2*150</f>
        <v>300</v>
      </c>
      <c r="N43" s="13">
        <f t="shared" si="28"/>
        <v>41039.99999999999</v>
      </c>
      <c r="O43" s="13"/>
      <c r="P43" s="13">
        <f t="shared" si="29"/>
        <v>0</v>
      </c>
      <c r="Q43" s="38"/>
      <c r="R43" s="13">
        <f t="shared" si="30"/>
        <v>0</v>
      </c>
      <c r="S43" s="13">
        <f t="shared" si="31"/>
        <v>41039.99999999999</v>
      </c>
      <c r="T43" s="38">
        <v>0.5</v>
      </c>
      <c r="U43" s="13">
        <f t="shared" si="32"/>
        <v>20519.999999999996</v>
      </c>
      <c r="V43" s="13">
        <f t="shared" si="33"/>
        <v>61559.999999999985</v>
      </c>
      <c r="W43" s="3"/>
      <c r="X43" s="3"/>
      <c r="Y43" s="3"/>
      <c r="AB43" s="43"/>
      <c r="AC43" s="81"/>
    </row>
    <row r="44" spans="1:29" s="4" customFormat="1" ht="11.25">
      <c r="A44" s="50">
        <v>1.31</v>
      </c>
      <c r="B44" s="3"/>
      <c r="C44" s="37"/>
      <c r="D44" s="56" t="s">
        <v>133</v>
      </c>
      <c r="E44" s="37" t="s">
        <v>132</v>
      </c>
      <c r="F44" s="64">
        <v>1</v>
      </c>
      <c r="G44" s="57" t="s">
        <v>67</v>
      </c>
      <c r="H44" s="13"/>
      <c r="I44" s="13">
        <f t="shared" si="26"/>
        <v>0</v>
      </c>
      <c r="J44" s="13">
        <f t="shared" si="34"/>
        <v>0</v>
      </c>
      <c r="K44" s="13"/>
      <c r="L44" s="13">
        <f t="shared" si="27"/>
        <v>0</v>
      </c>
      <c r="M44" s="65">
        <v>15000</v>
      </c>
      <c r="N44" s="13">
        <f t="shared" si="28"/>
        <v>15000</v>
      </c>
      <c r="O44" s="13"/>
      <c r="P44" s="13">
        <f t="shared" si="29"/>
        <v>0</v>
      </c>
      <c r="Q44" s="38"/>
      <c r="R44" s="13">
        <f t="shared" si="30"/>
        <v>0</v>
      </c>
      <c r="S44" s="13">
        <f t="shared" si="31"/>
        <v>15000</v>
      </c>
      <c r="T44" s="38">
        <v>0.5</v>
      </c>
      <c r="U44" s="13">
        <f t="shared" si="32"/>
        <v>7500</v>
      </c>
      <c r="V44" s="13">
        <f t="shared" si="33"/>
        <v>22500</v>
      </c>
      <c r="W44" s="3"/>
      <c r="X44" s="3"/>
      <c r="Y44" s="3"/>
      <c r="AB44" s="43"/>
      <c r="AC44" s="81"/>
    </row>
    <row r="45" spans="1:29" s="4" customFormat="1" ht="11.25">
      <c r="A45" s="50">
        <v>1.32</v>
      </c>
      <c r="B45" s="3"/>
      <c r="C45" s="37"/>
      <c r="D45" s="56" t="s">
        <v>134</v>
      </c>
      <c r="E45" s="37" t="s">
        <v>132</v>
      </c>
      <c r="F45" s="64">
        <v>4.5</v>
      </c>
      <c r="G45" s="57" t="s">
        <v>75</v>
      </c>
      <c r="H45" s="13"/>
      <c r="I45" s="13">
        <f t="shared" si="26"/>
        <v>0</v>
      </c>
      <c r="J45" s="13">
        <f t="shared" si="34"/>
        <v>0</v>
      </c>
      <c r="K45" s="13"/>
      <c r="L45" s="13">
        <f t="shared" si="27"/>
        <v>0</v>
      </c>
      <c r="M45" s="65">
        <v>2000</v>
      </c>
      <c r="N45" s="13">
        <f t="shared" si="28"/>
        <v>9000</v>
      </c>
      <c r="O45" s="13"/>
      <c r="P45" s="13">
        <f t="shared" si="29"/>
        <v>0</v>
      </c>
      <c r="Q45" s="38"/>
      <c r="R45" s="13">
        <f t="shared" si="30"/>
        <v>0</v>
      </c>
      <c r="S45" s="13">
        <f t="shared" si="31"/>
        <v>9000</v>
      </c>
      <c r="T45" s="38">
        <v>0.5</v>
      </c>
      <c r="U45" s="13">
        <f t="shared" si="32"/>
        <v>4500</v>
      </c>
      <c r="V45" s="13">
        <f t="shared" si="33"/>
        <v>13500</v>
      </c>
      <c r="W45" s="3"/>
      <c r="X45" s="3"/>
      <c r="Y45" s="3"/>
      <c r="AB45" s="43"/>
      <c r="AC45" s="81"/>
    </row>
    <row r="46" spans="1:29" s="4" customFormat="1" ht="11.25">
      <c r="A46" s="50">
        <v>1.33</v>
      </c>
      <c r="B46" s="3"/>
      <c r="C46" s="37"/>
      <c r="D46" s="56" t="s">
        <v>135</v>
      </c>
      <c r="E46" s="37" t="s">
        <v>95</v>
      </c>
      <c r="F46" s="64">
        <f>F45</f>
        <v>4.5</v>
      </c>
      <c r="G46" s="57" t="s">
        <v>75</v>
      </c>
      <c r="H46" s="13"/>
      <c r="I46" s="13">
        <f t="shared" si="26"/>
        <v>0</v>
      </c>
      <c r="J46" s="13">
        <f t="shared" si="34"/>
        <v>0</v>
      </c>
      <c r="K46" s="13"/>
      <c r="L46" s="13">
        <f t="shared" si="27"/>
        <v>0</v>
      </c>
      <c r="M46" s="65">
        <v>5000</v>
      </c>
      <c r="N46" s="13">
        <f t="shared" si="28"/>
        <v>22500</v>
      </c>
      <c r="O46" s="13"/>
      <c r="P46" s="13">
        <f t="shared" si="29"/>
        <v>0</v>
      </c>
      <c r="Q46" s="38"/>
      <c r="R46" s="13">
        <f t="shared" si="30"/>
        <v>0</v>
      </c>
      <c r="S46" s="13">
        <f t="shared" si="31"/>
        <v>22500</v>
      </c>
      <c r="T46" s="38">
        <v>0.5</v>
      </c>
      <c r="U46" s="13">
        <f t="shared" si="32"/>
        <v>11250</v>
      </c>
      <c r="V46" s="13">
        <f t="shared" si="33"/>
        <v>33750</v>
      </c>
      <c r="W46" s="3"/>
      <c r="X46" s="3"/>
      <c r="Y46" s="3"/>
      <c r="AB46" s="43"/>
      <c r="AC46" s="81"/>
    </row>
    <row r="47" spans="1:29" s="4" customFormat="1" ht="11.25">
      <c r="A47" s="50">
        <v>1.34</v>
      </c>
      <c r="B47" s="3"/>
      <c r="C47" s="37"/>
      <c r="D47" s="56" t="s">
        <v>136</v>
      </c>
      <c r="E47" s="37" t="s">
        <v>94</v>
      </c>
      <c r="F47" s="64">
        <f>F43</f>
        <v>136.79999999999998</v>
      </c>
      <c r="G47" s="57" t="s">
        <v>77</v>
      </c>
      <c r="H47" s="13"/>
      <c r="I47" s="13">
        <f t="shared" si="26"/>
        <v>0</v>
      </c>
      <c r="J47" s="13">
        <f t="shared" si="34"/>
        <v>0</v>
      </c>
      <c r="K47" s="13"/>
      <c r="L47" s="13">
        <f t="shared" si="27"/>
        <v>0</v>
      </c>
      <c r="M47" s="65">
        <f>6*150</f>
        <v>900</v>
      </c>
      <c r="N47" s="13">
        <f t="shared" si="28"/>
        <v>123119.99999999999</v>
      </c>
      <c r="O47" s="13"/>
      <c r="P47" s="13">
        <f t="shared" si="29"/>
        <v>0</v>
      </c>
      <c r="Q47" s="38"/>
      <c r="R47" s="13">
        <f t="shared" si="30"/>
        <v>0</v>
      </c>
      <c r="S47" s="13">
        <f t="shared" si="31"/>
        <v>123119.99999999999</v>
      </c>
      <c r="T47" s="38">
        <v>0.5</v>
      </c>
      <c r="U47" s="13">
        <f t="shared" si="32"/>
        <v>61559.99999999999</v>
      </c>
      <c r="V47" s="13">
        <f t="shared" si="33"/>
        <v>184679.99999999997</v>
      </c>
      <c r="W47" s="3"/>
      <c r="X47" s="3"/>
      <c r="Y47" s="3"/>
      <c r="AB47" s="43"/>
      <c r="AC47" s="81"/>
    </row>
    <row r="48" spans="1:29" s="4" customFormat="1" ht="11.25">
      <c r="A48" s="50">
        <v>1.35</v>
      </c>
      <c r="B48" s="3"/>
      <c r="C48" s="37"/>
      <c r="D48" s="56" t="s">
        <v>137</v>
      </c>
      <c r="E48" s="37" t="s">
        <v>94</v>
      </c>
      <c r="F48" s="64">
        <f>F45</f>
        <v>4.5</v>
      </c>
      <c r="G48" s="57" t="s">
        <v>75</v>
      </c>
      <c r="H48" s="13"/>
      <c r="I48" s="13">
        <f>F48*H48</f>
        <v>0</v>
      </c>
      <c r="J48" s="13">
        <f>I48*$L$8</f>
        <v>0</v>
      </c>
      <c r="K48" s="13"/>
      <c r="L48" s="13">
        <f>F48*K48</f>
        <v>0</v>
      </c>
      <c r="M48" s="65">
        <f>6*3740</f>
        <v>22440</v>
      </c>
      <c r="N48" s="13">
        <f>F48*M48</f>
        <v>100980</v>
      </c>
      <c r="O48" s="13"/>
      <c r="P48" s="13">
        <f>F48*O48</f>
        <v>0</v>
      </c>
      <c r="Q48" s="38"/>
      <c r="R48" s="13">
        <f>(J48+L48+N48+P48)*Q48</f>
        <v>0</v>
      </c>
      <c r="S48" s="13">
        <f>J48+L48+N48+P48+R48</f>
        <v>100980</v>
      </c>
      <c r="T48" s="38">
        <v>0.5</v>
      </c>
      <c r="U48" s="13">
        <f>S48*T48</f>
        <v>50490</v>
      </c>
      <c r="V48" s="13">
        <f>S48+U48</f>
        <v>151470</v>
      </c>
      <c r="W48" s="3"/>
      <c r="X48" s="3"/>
      <c r="Y48" s="3"/>
      <c r="AB48" s="43"/>
      <c r="AC48" s="81"/>
    </row>
    <row r="49" spans="1:29" s="4" customFormat="1" ht="11.25">
      <c r="A49" s="50">
        <v>1.36</v>
      </c>
      <c r="B49" s="3"/>
      <c r="C49" s="37"/>
      <c r="D49" s="56" t="s">
        <v>76</v>
      </c>
      <c r="E49" s="37" t="s">
        <v>94</v>
      </c>
      <c r="F49" s="64">
        <f>F45</f>
        <v>4.5</v>
      </c>
      <c r="G49" s="57" t="s">
        <v>75</v>
      </c>
      <c r="H49" s="13"/>
      <c r="I49" s="13">
        <f>F49*H49</f>
        <v>0</v>
      </c>
      <c r="J49" s="13">
        <f>I49*$L$8</f>
        <v>0</v>
      </c>
      <c r="K49" s="13"/>
      <c r="L49" s="13">
        <f>F49*K49</f>
        <v>0</v>
      </c>
      <c r="M49" s="65">
        <f>6*1320</f>
        <v>7920</v>
      </c>
      <c r="N49" s="13">
        <f>F49*M49</f>
        <v>35640</v>
      </c>
      <c r="O49" s="13"/>
      <c r="P49" s="13">
        <f>F49*O49</f>
        <v>0</v>
      </c>
      <c r="Q49" s="38"/>
      <c r="R49" s="13">
        <f>(J49+L49+N49+P49)*Q49</f>
        <v>0</v>
      </c>
      <c r="S49" s="13">
        <f>J49+L49+N49+P49+R49</f>
        <v>35640</v>
      </c>
      <c r="T49" s="38">
        <v>0.5</v>
      </c>
      <c r="U49" s="13">
        <f>S49*T49</f>
        <v>17820</v>
      </c>
      <c r="V49" s="13">
        <f>S49+U49</f>
        <v>53460</v>
      </c>
      <c r="W49" s="3"/>
      <c r="X49" s="3"/>
      <c r="Y49" s="3"/>
      <c r="AB49" s="43"/>
      <c r="AC49" s="81"/>
    </row>
    <row r="50" spans="1:29" s="4" customFormat="1" ht="11.25">
      <c r="A50" s="50">
        <v>1.37</v>
      </c>
      <c r="B50" s="3"/>
      <c r="C50" s="37"/>
      <c r="D50" s="56"/>
      <c r="E50" s="37"/>
      <c r="F50" s="64"/>
      <c r="G50" s="57"/>
      <c r="H50" s="13"/>
      <c r="I50" s="13">
        <f t="shared" si="26"/>
        <v>0</v>
      </c>
      <c r="J50" s="13">
        <f t="shared" si="34"/>
        <v>0</v>
      </c>
      <c r="K50" s="13"/>
      <c r="L50" s="13">
        <f t="shared" si="27"/>
        <v>0</v>
      </c>
      <c r="M50" s="13"/>
      <c r="N50" s="13">
        <f t="shared" si="28"/>
        <v>0</v>
      </c>
      <c r="O50" s="13"/>
      <c r="P50" s="13">
        <f t="shared" si="29"/>
        <v>0</v>
      </c>
      <c r="Q50" s="38"/>
      <c r="R50" s="13">
        <f t="shared" si="30"/>
        <v>0</v>
      </c>
      <c r="S50" s="13">
        <f t="shared" si="31"/>
        <v>0</v>
      </c>
      <c r="T50" s="38"/>
      <c r="U50" s="13">
        <f t="shared" si="32"/>
        <v>0</v>
      </c>
      <c r="V50" s="13">
        <f t="shared" si="33"/>
        <v>0</v>
      </c>
      <c r="W50" s="3"/>
      <c r="X50" s="3"/>
      <c r="Y50" s="3"/>
      <c r="AB50" s="43"/>
      <c r="AC50" s="81"/>
    </row>
    <row r="51" spans="1:29" s="4" customFormat="1" ht="33.75">
      <c r="A51" s="50">
        <v>1.38</v>
      </c>
      <c r="B51" s="3"/>
      <c r="C51" s="37"/>
      <c r="D51" s="59" t="s">
        <v>72</v>
      </c>
      <c r="E51" s="37" t="s">
        <v>138</v>
      </c>
      <c r="F51" s="64"/>
      <c r="G51" s="57"/>
      <c r="H51" s="13"/>
      <c r="I51" s="13">
        <f t="shared" si="26"/>
        <v>0</v>
      </c>
      <c r="J51" s="13">
        <f t="shared" si="34"/>
        <v>0</v>
      </c>
      <c r="K51" s="13"/>
      <c r="L51" s="13">
        <f t="shared" si="27"/>
        <v>0</v>
      </c>
      <c r="M51" s="13"/>
      <c r="N51" s="13">
        <f t="shared" si="28"/>
        <v>0</v>
      </c>
      <c r="O51" s="13"/>
      <c r="P51" s="13">
        <f t="shared" si="29"/>
        <v>0</v>
      </c>
      <c r="Q51" s="38"/>
      <c r="R51" s="13">
        <f t="shared" si="30"/>
        <v>0</v>
      </c>
      <c r="S51" s="13">
        <f t="shared" si="31"/>
        <v>0</v>
      </c>
      <c r="T51" s="38"/>
      <c r="U51" s="13">
        <f t="shared" si="32"/>
        <v>0</v>
      </c>
      <c r="V51" s="13">
        <f t="shared" si="33"/>
        <v>0</v>
      </c>
      <c r="W51" s="3"/>
      <c r="X51" s="3"/>
      <c r="Y51" s="3"/>
      <c r="AB51" s="43"/>
      <c r="AC51" s="81"/>
    </row>
    <row r="52" spans="1:29" s="4" customFormat="1" ht="11.25">
      <c r="A52" s="50">
        <v>1.39</v>
      </c>
      <c r="B52" s="3"/>
      <c r="C52" s="37"/>
      <c r="D52" s="56" t="s">
        <v>140</v>
      </c>
      <c r="E52" s="37" t="s">
        <v>98</v>
      </c>
      <c r="F52" s="64">
        <f>2*30.4</f>
        <v>60.8</v>
      </c>
      <c r="G52" s="57" t="s">
        <v>77</v>
      </c>
      <c r="H52" s="13"/>
      <c r="I52" s="13">
        <f t="shared" si="26"/>
        <v>0</v>
      </c>
      <c r="J52" s="13">
        <f t="shared" si="34"/>
        <v>0</v>
      </c>
      <c r="K52" s="13"/>
      <c r="L52" s="13">
        <f t="shared" si="27"/>
        <v>0</v>
      </c>
      <c r="M52" s="65">
        <f>24*110</f>
        <v>2640</v>
      </c>
      <c r="N52" s="13">
        <f t="shared" si="28"/>
        <v>160512</v>
      </c>
      <c r="O52" s="13"/>
      <c r="P52" s="13">
        <f t="shared" si="29"/>
        <v>0</v>
      </c>
      <c r="Q52" s="38"/>
      <c r="R52" s="13">
        <f t="shared" si="30"/>
        <v>0</v>
      </c>
      <c r="S52" s="13">
        <f t="shared" si="31"/>
        <v>160512</v>
      </c>
      <c r="T52" s="38">
        <v>0.5</v>
      </c>
      <c r="U52" s="13">
        <f t="shared" si="32"/>
        <v>80256</v>
      </c>
      <c r="V52" s="13">
        <f t="shared" si="33"/>
        <v>240768</v>
      </c>
      <c r="W52" s="3"/>
      <c r="X52" s="3"/>
      <c r="Y52" s="3"/>
      <c r="AB52" s="43"/>
      <c r="AC52" s="81"/>
    </row>
    <row r="53" spans="1:29" s="4" customFormat="1" ht="11.25">
      <c r="A53" s="50">
        <v>1.4</v>
      </c>
      <c r="B53" s="3"/>
      <c r="C53" s="37"/>
      <c r="D53" s="56" t="s">
        <v>74</v>
      </c>
      <c r="E53" s="37" t="s">
        <v>98</v>
      </c>
      <c r="F53" s="64">
        <f>F52</f>
        <v>60.8</v>
      </c>
      <c r="G53" s="57" t="s">
        <v>77</v>
      </c>
      <c r="H53" s="13"/>
      <c r="I53" s="13">
        <f t="shared" si="26"/>
        <v>0</v>
      </c>
      <c r="J53" s="13">
        <f t="shared" si="34"/>
        <v>0</v>
      </c>
      <c r="K53" s="13"/>
      <c r="L53" s="13">
        <f t="shared" si="27"/>
        <v>0</v>
      </c>
      <c r="M53" s="65">
        <f>24*110</f>
        <v>2640</v>
      </c>
      <c r="N53" s="13">
        <f t="shared" si="28"/>
        <v>160512</v>
      </c>
      <c r="O53" s="13"/>
      <c r="P53" s="13">
        <f t="shared" si="29"/>
        <v>0</v>
      </c>
      <c r="Q53" s="38"/>
      <c r="R53" s="13">
        <f t="shared" si="30"/>
        <v>0</v>
      </c>
      <c r="S53" s="13">
        <f t="shared" si="31"/>
        <v>160512</v>
      </c>
      <c r="T53" s="38">
        <v>0.5</v>
      </c>
      <c r="U53" s="13">
        <f t="shared" si="32"/>
        <v>80256</v>
      </c>
      <c r="V53" s="13">
        <f t="shared" si="33"/>
        <v>240768</v>
      </c>
      <c r="W53" s="3"/>
      <c r="X53" s="3"/>
      <c r="Y53" s="3"/>
      <c r="AB53" s="43"/>
      <c r="AC53" s="81"/>
    </row>
    <row r="54" spans="1:29" s="4" customFormat="1" ht="11.25">
      <c r="A54" s="50">
        <v>1.41</v>
      </c>
      <c r="B54" s="3"/>
      <c r="C54" s="37"/>
      <c r="D54" s="56" t="s">
        <v>73</v>
      </c>
      <c r="E54" s="37" t="s">
        <v>97</v>
      </c>
      <c r="F54" s="74">
        <f>F52*2</f>
        <v>121.6</v>
      </c>
      <c r="G54" s="57" t="s">
        <v>77</v>
      </c>
      <c r="H54" s="13"/>
      <c r="I54" s="13">
        <f t="shared" si="26"/>
        <v>0</v>
      </c>
      <c r="J54" s="13">
        <f t="shared" si="34"/>
        <v>0</v>
      </c>
      <c r="K54" s="13"/>
      <c r="L54" s="13">
        <f t="shared" si="27"/>
        <v>0</v>
      </c>
      <c r="M54" s="65">
        <f>24*75</f>
        <v>1800</v>
      </c>
      <c r="N54" s="13">
        <f t="shared" si="28"/>
        <v>218880</v>
      </c>
      <c r="O54" s="13"/>
      <c r="P54" s="13">
        <f t="shared" si="29"/>
        <v>0</v>
      </c>
      <c r="Q54" s="38"/>
      <c r="R54" s="13">
        <f t="shared" si="30"/>
        <v>0</v>
      </c>
      <c r="S54" s="13">
        <f t="shared" si="31"/>
        <v>218880</v>
      </c>
      <c r="T54" s="38">
        <v>0.5</v>
      </c>
      <c r="U54" s="13">
        <f t="shared" si="32"/>
        <v>109440</v>
      </c>
      <c r="V54" s="13">
        <f t="shared" si="33"/>
        <v>328320</v>
      </c>
      <c r="W54" s="3"/>
      <c r="X54" s="3"/>
      <c r="Y54" s="3"/>
      <c r="AB54" s="43"/>
      <c r="AC54" s="81"/>
    </row>
    <row r="55" spans="1:29" s="4" customFormat="1" ht="11.25">
      <c r="A55" s="50">
        <v>1.42</v>
      </c>
      <c r="B55" s="3"/>
      <c r="C55" s="37"/>
      <c r="D55" s="56"/>
      <c r="E55" s="37"/>
      <c r="F55" s="64"/>
      <c r="G55" s="57"/>
      <c r="H55" s="13"/>
      <c r="I55" s="13">
        <f t="shared" si="26"/>
        <v>0</v>
      </c>
      <c r="J55" s="13">
        <f t="shared" si="34"/>
        <v>0</v>
      </c>
      <c r="K55" s="13"/>
      <c r="L55" s="13">
        <f t="shared" si="27"/>
        <v>0</v>
      </c>
      <c r="M55" s="13"/>
      <c r="N55" s="13">
        <f t="shared" si="28"/>
        <v>0</v>
      </c>
      <c r="O55" s="13"/>
      <c r="P55" s="13">
        <f t="shared" si="29"/>
        <v>0</v>
      </c>
      <c r="Q55" s="38"/>
      <c r="R55" s="13">
        <f t="shared" si="30"/>
        <v>0</v>
      </c>
      <c r="S55" s="13">
        <f t="shared" si="31"/>
        <v>0</v>
      </c>
      <c r="T55" s="38"/>
      <c r="U55" s="13">
        <f t="shared" si="32"/>
        <v>0</v>
      </c>
      <c r="V55" s="13">
        <f t="shared" si="33"/>
        <v>0</v>
      </c>
      <c r="W55" s="3"/>
      <c r="X55" s="3"/>
      <c r="Y55" s="3"/>
      <c r="AB55" s="43"/>
      <c r="AC55" s="81"/>
    </row>
    <row r="56" spans="1:29" s="4" customFormat="1" ht="11.25">
      <c r="A56" s="50">
        <v>1.37</v>
      </c>
      <c r="B56" s="3"/>
      <c r="C56" s="37"/>
      <c r="D56" s="59" t="s">
        <v>144</v>
      </c>
      <c r="E56" s="37"/>
      <c r="F56" s="64"/>
      <c r="G56" s="57"/>
      <c r="H56" s="13"/>
      <c r="I56" s="13">
        <f t="shared" si="26"/>
        <v>0</v>
      </c>
      <c r="J56" s="13">
        <f t="shared" si="34"/>
        <v>0</v>
      </c>
      <c r="K56" s="13"/>
      <c r="L56" s="13">
        <f t="shared" si="27"/>
        <v>0</v>
      </c>
      <c r="M56" s="76"/>
      <c r="N56" s="13">
        <f t="shared" si="28"/>
        <v>0</v>
      </c>
      <c r="O56" s="13"/>
      <c r="P56" s="13">
        <f t="shared" si="29"/>
        <v>0</v>
      </c>
      <c r="Q56" s="38"/>
      <c r="R56" s="13">
        <f t="shared" si="30"/>
        <v>0</v>
      </c>
      <c r="S56" s="13">
        <f t="shared" si="31"/>
        <v>0</v>
      </c>
      <c r="T56" s="38"/>
      <c r="U56" s="13">
        <f t="shared" si="32"/>
        <v>0</v>
      </c>
      <c r="V56" s="13">
        <f t="shared" si="33"/>
        <v>0</v>
      </c>
      <c r="W56" s="3"/>
      <c r="X56" s="3"/>
      <c r="Y56" s="3"/>
      <c r="AB56" s="43"/>
      <c r="AC56" s="81"/>
    </row>
    <row r="57" spans="1:29" s="4" customFormat="1" ht="56.25">
      <c r="A57" s="50">
        <v>1.38</v>
      </c>
      <c r="B57" s="3"/>
      <c r="C57" s="37"/>
      <c r="D57" s="56" t="s">
        <v>145</v>
      </c>
      <c r="E57" s="37" t="s">
        <v>146</v>
      </c>
      <c r="F57" s="64">
        <v>1</v>
      </c>
      <c r="G57" s="57" t="s">
        <v>108</v>
      </c>
      <c r="H57" s="13"/>
      <c r="I57" s="13">
        <f>F57*H57</f>
        <v>0</v>
      </c>
      <c r="J57" s="13">
        <f>I57*$L$8</f>
        <v>0</v>
      </c>
      <c r="K57" s="13"/>
      <c r="L57" s="13">
        <f>F57*K57</f>
        <v>0</v>
      </c>
      <c r="M57" s="76">
        <f>385000+(271*900)+(4*19712)+(12.6*F43*1.6)+(1*F43*4*100)</f>
        <v>765225.888</v>
      </c>
      <c r="N57" s="13">
        <f>F57*M57</f>
        <v>765225.888</v>
      </c>
      <c r="O57" s="13"/>
      <c r="P57" s="13">
        <f>F57*O57</f>
        <v>0</v>
      </c>
      <c r="Q57" s="38"/>
      <c r="R57" s="13">
        <f>(J57+L57+N57+P57)*Q57</f>
        <v>0</v>
      </c>
      <c r="S57" s="13">
        <f>J57+L57+N57+P57+R57</f>
        <v>765225.888</v>
      </c>
      <c r="T57" s="38">
        <v>0.5</v>
      </c>
      <c r="U57" s="13">
        <f>S57*T57</f>
        <v>382612.944</v>
      </c>
      <c r="V57" s="13">
        <f>S57+U57</f>
        <v>1147838.832</v>
      </c>
      <c r="W57" s="3"/>
      <c r="X57" s="3"/>
      <c r="Y57" s="3"/>
      <c r="AB57" s="43"/>
      <c r="AC57" s="81"/>
    </row>
    <row r="58" spans="1:29" s="4" customFormat="1" ht="11.25">
      <c r="A58" s="50">
        <v>1.39</v>
      </c>
      <c r="B58" s="3"/>
      <c r="C58" s="37"/>
      <c r="D58" s="56" t="s">
        <v>147</v>
      </c>
      <c r="E58" s="37"/>
      <c r="F58" s="64">
        <v>1</v>
      </c>
      <c r="G58" s="57" t="s">
        <v>67</v>
      </c>
      <c r="H58" s="13"/>
      <c r="I58" s="13">
        <f>F58*H58</f>
        <v>0</v>
      </c>
      <c r="J58" s="13">
        <f>I58*$L$8</f>
        <v>0</v>
      </c>
      <c r="K58" s="13"/>
      <c r="L58" s="13">
        <f>F58*K58</f>
        <v>0</v>
      </c>
      <c r="M58" s="76">
        <f>1000*F15</f>
        <v>18000</v>
      </c>
      <c r="N58" s="13">
        <f>F58*M58</f>
        <v>18000</v>
      </c>
      <c r="O58" s="13"/>
      <c r="P58" s="13">
        <f>F58*O58</f>
        <v>0</v>
      </c>
      <c r="Q58" s="38"/>
      <c r="R58" s="13">
        <f>(J58+L58+N58+P58)*Q58</f>
        <v>0</v>
      </c>
      <c r="S58" s="13">
        <f>J58+L58+N58+P58+R58</f>
        <v>18000</v>
      </c>
      <c r="T58" s="38">
        <v>0.5</v>
      </c>
      <c r="U58" s="13">
        <f>S58*T58</f>
        <v>9000</v>
      </c>
      <c r="V58" s="13">
        <f>S58+U58</f>
        <v>27000</v>
      </c>
      <c r="W58" s="3"/>
      <c r="X58" s="3"/>
      <c r="Y58" s="3"/>
      <c r="AC58" s="81"/>
    </row>
    <row r="59" spans="1:29" s="4" customFormat="1" ht="11.25">
      <c r="A59" s="50">
        <v>1.4</v>
      </c>
      <c r="B59" s="3"/>
      <c r="C59" s="37"/>
      <c r="D59" s="56" t="s">
        <v>148</v>
      </c>
      <c r="E59" s="37"/>
      <c r="F59" s="64">
        <v>50</v>
      </c>
      <c r="G59" s="57" t="s">
        <v>108</v>
      </c>
      <c r="H59" s="13"/>
      <c r="I59" s="13">
        <f>F59*H59</f>
        <v>0</v>
      </c>
      <c r="J59" s="13">
        <f>I59*$L$8</f>
        <v>0</v>
      </c>
      <c r="K59" s="13"/>
      <c r="L59" s="13">
        <f>F59*K59</f>
        <v>0</v>
      </c>
      <c r="M59" s="76">
        <v>500</v>
      </c>
      <c r="N59" s="13">
        <f>F59*M59</f>
        <v>25000</v>
      </c>
      <c r="O59" s="13"/>
      <c r="P59" s="13">
        <f>F59*O59</f>
        <v>0</v>
      </c>
      <c r="Q59" s="38"/>
      <c r="R59" s="13">
        <f>(J59+L59+N59+P59)*Q59</f>
        <v>0</v>
      </c>
      <c r="S59" s="13">
        <f>J59+L59+N59+P59+R59</f>
        <v>25000</v>
      </c>
      <c r="T59" s="38">
        <v>0.5</v>
      </c>
      <c r="U59" s="13">
        <f>S59*T59</f>
        <v>12500</v>
      </c>
      <c r="V59" s="13">
        <f>S59+U59</f>
        <v>37500</v>
      </c>
      <c r="W59" s="3"/>
      <c r="X59" s="3"/>
      <c r="Y59" s="3"/>
      <c r="AB59" s="43"/>
      <c r="AC59" s="81"/>
    </row>
    <row r="60" spans="1:29" s="4" customFormat="1" ht="11.25">
      <c r="A60" s="50">
        <v>1.41</v>
      </c>
      <c r="B60" s="3"/>
      <c r="C60" s="37"/>
      <c r="D60" s="56"/>
      <c r="E60" s="37"/>
      <c r="F60" s="64"/>
      <c r="G60" s="57"/>
      <c r="H60" s="13"/>
      <c r="I60" s="13">
        <f t="shared" si="26"/>
        <v>0</v>
      </c>
      <c r="J60" s="13">
        <f t="shared" si="34"/>
        <v>0</v>
      </c>
      <c r="K60" s="13"/>
      <c r="L60" s="13">
        <f t="shared" si="27"/>
        <v>0</v>
      </c>
      <c r="M60" s="76"/>
      <c r="N60" s="13">
        <f t="shared" si="28"/>
        <v>0</v>
      </c>
      <c r="O60" s="13"/>
      <c r="P60" s="13">
        <f t="shared" si="29"/>
        <v>0</v>
      </c>
      <c r="Q60" s="38"/>
      <c r="R60" s="13">
        <f t="shared" si="30"/>
        <v>0</v>
      </c>
      <c r="S60" s="13">
        <f t="shared" si="31"/>
        <v>0</v>
      </c>
      <c r="T60" s="38"/>
      <c r="U60" s="13">
        <f t="shared" si="32"/>
        <v>0</v>
      </c>
      <c r="V60" s="13">
        <f t="shared" si="33"/>
        <v>0</v>
      </c>
      <c r="W60" s="3"/>
      <c r="X60" s="3"/>
      <c r="Y60" s="3"/>
      <c r="AB60" s="43"/>
      <c r="AC60" s="81"/>
    </row>
    <row r="61" spans="1:29" s="4" customFormat="1" ht="33.75">
      <c r="A61" s="50">
        <v>1.43</v>
      </c>
      <c r="B61" s="3"/>
      <c r="C61" s="37"/>
      <c r="D61" s="59" t="s">
        <v>79</v>
      </c>
      <c r="E61" s="37" t="s">
        <v>78</v>
      </c>
      <c r="F61" s="64"/>
      <c r="G61" s="57"/>
      <c r="H61" s="13"/>
      <c r="I61" s="13">
        <f t="shared" si="26"/>
        <v>0</v>
      </c>
      <c r="J61" s="13">
        <f t="shared" si="34"/>
        <v>0</v>
      </c>
      <c r="K61" s="13"/>
      <c r="L61" s="13">
        <f t="shared" si="27"/>
        <v>0</v>
      </c>
      <c r="M61" s="13"/>
      <c r="N61" s="13">
        <f t="shared" si="28"/>
        <v>0</v>
      </c>
      <c r="O61" s="13"/>
      <c r="P61" s="13">
        <f t="shared" si="29"/>
        <v>0</v>
      </c>
      <c r="Q61" s="38"/>
      <c r="R61" s="13">
        <f t="shared" si="30"/>
        <v>0</v>
      </c>
      <c r="S61" s="13">
        <f t="shared" si="31"/>
        <v>0</v>
      </c>
      <c r="T61" s="38"/>
      <c r="U61" s="13">
        <f t="shared" si="32"/>
        <v>0</v>
      </c>
      <c r="V61" s="13">
        <f t="shared" si="33"/>
        <v>0</v>
      </c>
      <c r="W61" s="3"/>
      <c r="X61" s="3"/>
      <c r="Y61" s="3"/>
      <c r="AB61" s="43"/>
      <c r="AC61" s="81"/>
    </row>
    <row r="62" spans="1:29" s="4" customFormat="1" ht="11.25">
      <c r="A62" s="50">
        <v>1.44</v>
      </c>
      <c r="B62" s="3"/>
      <c r="C62" s="37"/>
      <c r="D62" s="56" t="s">
        <v>139</v>
      </c>
      <c r="E62" s="37" t="s">
        <v>80</v>
      </c>
      <c r="F62" s="74">
        <f>F63/27000</f>
        <v>42.68825925925926</v>
      </c>
      <c r="G62" s="57" t="s">
        <v>128</v>
      </c>
      <c r="H62" s="13"/>
      <c r="I62" s="13">
        <f t="shared" si="26"/>
        <v>0</v>
      </c>
      <c r="J62" s="13">
        <f t="shared" si="34"/>
        <v>0</v>
      </c>
      <c r="K62" s="13"/>
      <c r="L62" s="13">
        <f t="shared" si="27"/>
        <v>0</v>
      </c>
      <c r="M62" s="65">
        <f>(71.4+100)*4</f>
        <v>685.6</v>
      </c>
      <c r="N62" s="13">
        <f t="shared" si="28"/>
        <v>29267.07054814815</v>
      </c>
      <c r="O62" s="13"/>
      <c r="P62" s="13">
        <f t="shared" si="29"/>
        <v>0</v>
      </c>
      <c r="Q62" s="38"/>
      <c r="R62" s="13">
        <f t="shared" si="30"/>
        <v>0</v>
      </c>
      <c r="S62" s="13">
        <f t="shared" si="31"/>
        <v>29267.07054814815</v>
      </c>
      <c r="T62" s="38">
        <v>0.5</v>
      </c>
      <c r="U62" s="13">
        <f t="shared" si="32"/>
        <v>14633.535274074075</v>
      </c>
      <c r="V62" s="13">
        <f t="shared" si="33"/>
        <v>43900.60582222222</v>
      </c>
      <c r="W62" s="58"/>
      <c r="X62" s="3"/>
      <c r="Y62" s="3"/>
      <c r="AB62" s="43"/>
      <c r="AC62" s="81"/>
    </row>
    <row r="63" spans="1:29" s="4" customFormat="1" ht="11.25">
      <c r="A63" s="50">
        <v>1.45</v>
      </c>
      <c r="B63" s="3"/>
      <c r="C63" s="37"/>
      <c r="D63" s="67"/>
      <c r="E63" s="4" t="s">
        <v>105</v>
      </c>
      <c r="F63" s="63">
        <f>334736+817847</f>
        <v>1152583</v>
      </c>
      <c r="G63" s="69" t="s">
        <v>96</v>
      </c>
      <c r="H63" s="13"/>
      <c r="I63" s="13">
        <f>F63*H63</f>
        <v>0</v>
      </c>
      <c r="J63" s="13">
        <f>I63*$L$8</f>
        <v>0</v>
      </c>
      <c r="K63" s="13"/>
      <c r="L63" s="13">
        <f>F63*K63</f>
        <v>0</v>
      </c>
      <c r="M63" s="13"/>
      <c r="N63" s="13">
        <f>F63*M63</f>
        <v>0</v>
      </c>
      <c r="O63" s="13"/>
      <c r="P63" s="13">
        <f>F63*O63</f>
        <v>0</v>
      </c>
      <c r="Q63" s="38"/>
      <c r="R63" s="13">
        <f>(J63+L63+N63+P63)*Q63</f>
        <v>0</v>
      </c>
      <c r="S63" s="13">
        <f>J63+L63+N63+P63+R63</f>
        <v>0</v>
      </c>
      <c r="T63" s="38"/>
      <c r="U63" s="13">
        <f>S63*T63</f>
        <v>0</v>
      </c>
      <c r="V63" s="13">
        <f>S63+U63</f>
        <v>0</v>
      </c>
      <c r="W63" s="3"/>
      <c r="X63" s="3"/>
      <c r="Y63" s="3"/>
      <c r="AB63" s="43"/>
      <c r="AC63" s="81"/>
    </row>
    <row r="64" spans="1:29" s="4" customFormat="1" ht="11.25">
      <c r="A64" s="50">
        <v>1.46</v>
      </c>
      <c r="B64" s="3"/>
      <c r="C64" s="37"/>
      <c r="D64" s="67"/>
      <c r="E64" s="37"/>
      <c r="F64" s="68"/>
      <c r="G64" s="69"/>
      <c r="H64" s="13"/>
      <c r="I64" s="13">
        <f t="shared" si="26"/>
        <v>0</v>
      </c>
      <c r="J64" s="13">
        <f t="shared" si="34"/>
        <v>0</v>
      </c>
      <c r="K64" s="13"/>
      <c r="L64" s="13">
        <f t="shared" si="27"/>
        <v>0</v>
      </c>
      <c r="M64" s="13"/>
      <c r="N64" s="13">
        <f t="shared" si="28"/>
        <v>0</v>
      </c>
      <c r="O64" s="13"/>
      <c r="P64" s="13">
        <f t="shared" si="29"/>
        <v>0</v>
      </c>
      <c r="Q64" s="38"/>
      <c r="R64" s="13">
        <f t="shared" si="30"/>
        <v>0</v>
      </c>
      <c r="S64" s="13">
        <f t="shared" si="31"/>
        <v>0</v>
      </c>
      <c r="T64" s="38"/>
      <c r="U64" s="13">
        <f t="shared" si="32"/>
        <v>0</v>
      </c>
      <c r="V64" s="13">
        <f t="shared" si="33"/>
        <v>0</v>
      </c>
      <c r="W64" s="3"/>
      <c r="X64" s="3"/>
      <c r="Y64" s="3"/>
      <c r="AB64" s="43"/>
      <c r="AC64" s="81"/>
    </row>
    <row r="65" spans="1:29" s="4" customFormat="1" ht="11.25">
      <c r="A65" s="50">
        <v>1.47</v>
      </c>
      <c r="B65" s="3"/>
      <c r="C65" s="37"/>
      <c r="D65" s="56"/>
      <c r="E65" s="37"/>
      <c r="F65" s="64"/>
      <c r="G65" s="57"/>
      <c r="H65" s="13"/>
      <c r="I65" s="13">
        <f t="shared" si="26"/>
        <v>0</v>
      </c>
      <c r="J65" s="13">
        <f t="shared" si="34"/>
        <v>0</v>
      </c>
      <c r="K65" s="13"/>
      <c r="L65" s="13">
        <f t="shared" si="27"/>
        <v>0</v>
      </c>
      <c r="M65" s="13"/>
      <c r="N65" s="13">
        <f t="shared" si="28"/>
        <v>0</v>
      </c>
      <c r="O65" s="13"/>
      <c r="P65" s="13">
        <f t="shared" si="29"/>
        <v>0</v>
      </c>
      <c r="Q65" s="38"/>
      <c r="R65" s="13">
        <f t="shared" si="30"/>
        <v>0</v>
      </c>
      <c r="S65" s="13">
        <f t="shared" si="31"/>
        <v>0</v>
      </c>
      <c r="T65" s="38"/>
      <c r="U65" s="13">
        <f t="shared" si="32"/>
        <v>0</v>
      </c>
      <c r="V65" s="13">
        <f t="shared" si="33"/>
        <v>0</v>
      </c>
      <c r="W65" s="3"/>
      <c r="X65" s="3"/>
      <c r="Y65" s="3"/>
      <c r="AB65" s="43"/>
      <c r="AC65" s="81"/>
    </row>
    <row r="66" spans="2:29" s="14" customFormat="1" ht="24.75" customHeight="1">
      <c r="B66" s="125" t="s">
        <v>37</v>
      </c>
      <c r="C66" s="125"/>
      <c r="D66" s="125"/>
      <c r="E66" s="125"/>
      <c r="F66" s="125"/>
      <c r="G66" s="125"/>
      <c r="H66" s="125"/>
      <c r="I66" s="36">
        <f>SUM(I14:I65)</f>
        <v>0</v>
      </c>
      <c r="J66" s="36">
        <f>SUM(J14:J65)</f>
        <v>0</v>
      </c>
      <c r="K66" s="48"/>
      <c r="L66" s="36">
        <f>SUM(L14:L65)</f>
        <v>0</v>
      </c>
      <c r="M66" s="48"/>
      <c r="N66" s="36">
        <f>SUM(N14:N65)</f>
        <v>11882253.12734815</v>
      </c>
      <c r="O66" s="48"/>
      <c r="P66" s="36">
        <f>SUM(P14:P65)</f>
        <v>0</v>
      </c>
      <c r="Q66" s="41">
        <f>R66/S66</f>
        <v>0</v>
      </c>
      <c r="R66" s="36">
        <f>SUM(R14:R65)</f>
        <v>0</v>
      </c>
      <c r="S66" s="36">
        <f>SUM(S14:S65)</f>
        <v>11882253.12734815</v>
      </c>
      <c r="T66" s="41">
        <f>U66/S66</f>
        <v>0.5</v>
      </c>
      <c r="U66" s="36">
        <f>SUM(U14:U65)</f>
        <v>5941126.563674075</v>
      </c>
      <c r="V66" s="36">
        <f>SUM(V14:V65)</f>
        <v>17823379.69102222</v>
      </c>
      <c r="W66" s="4"/>
      <c r="X66" s="4"/>
      <c r="Y66" s="4"/>
      <c r="AC66" s="81"/>
    </row>
    <row r="67" spans="2:29" s="4" customFormat="1" ht="4.5" customHeight="1">
      <c r="B67" s="45"/>
      <c r="C67" s="45"/>
      <c r="D67" s="45"/>
      <c r="E67" s="45"/>
      <c r="F67" s="46"/>
      <c r="G67" s="61"/>
      <c r="H67" s="46"/>
      <c r="I67" s="46"/>
      <c r="J67" s="46"/>
      <c r="K67" s="46"/>
      <c r="L67" s="46"/>
      <c r="M67" s="46"/>
      <c r="N67" s="46"/>
      <c r="O67" s="46"/>
      <c r="P67" s="46"/>
      <c r="Q67" s="47"/>
      <c r="R67" s="46"/>
      <c r="S67" s="46"/>
      <c r="T67" s="47"/>
      <c r="U67" s="46"/>
      <c r="V67" s="46"/>
      <c r="W67" s="45"/>
      <c r="X67" s="45"/>
      <c r="Y67" s="45"/>
      <c r="AC67" s="81"/>
    </row>
    <row r="68" spans="2:29" s="4" customFormat="1" ht="11.25">
      <c r="B68" s="49" t="s">
        <v>45</v>
      </c>
      <c r="C68" s="45"/>
      <c r="D68" s="45"/>
      <c r="E68" s="45"/>
      <c r="F68" s="46"/>
      <c r="G68" s="61"/>
      <c r="H68" s="46"/>
      <c r="I68" s="46"/>
      <c r="J68" s="46"/>
      <c r="K68" s="46"/>
      <c r="L68" s="46"/>
      <c r="M68" s="46"/>
      <c r="N68" s="46"/>
      <c r="O68" s="46"/>
      <c r="P68" s="46"/>
      <c r="Q68" s="47"/>
      <c r="R68" s="46"/>
      <c r="S68" s="46"/>
      <c r="T68" s="47"/>
      <c r="U68" s="46"/>
      <c r="V68" s="46"/>
      <c r="W68" s="45"/>
      <c r="X68" s="45"/>
      <c r="Y68" s="45"/>
      <c r="AC68" s="81"/>
    </row>
    <row r="69" spans="2:29" s="4" customFormat="1" ht="4.5" customHeight="1">
      <c r="B69" s="45"/>
      <c r="C69" s="45"/>
      <c r="D69" s="45"/>
      <c r="E69" s="45"/>
      <c r="F69" s="46"/>
      <c r="G69" s="61"/>
      <c r="H69" s="46"/>
      <c r="I69" s="46"/>
      <c r="J69" s="46"/>
      <c r="K69" s="46"/>
      <c r="L69" s="46"/>
      <c r="M69" s="46"/>
      <c r="N69" s="46"/>
      <c r="O69" s="46"/>
      <c r="P69" s="46"/>
      <c r="Q69" s="47"/>
      <c r="R69" s="46"/>
      <c r="S69" s="46"/>
      <c r="T69" s="47"/>
      <c r="U69" s="46"/>
      <c r="V69" s="46"/>
      <c r="W69" s="45"/>
      <c r="X69" s="45"/>
      <c r="Y69" s="45"/>
      <c r="AC69" s="81"/>
    </row>
    <row r="70" spans="1:29" s="4" customFormat="1" ht="11.25">
      <c r="A70" s="50">
        <v>2.01</v>
      </c>
      <c r="B70" s="3"/>
      <c r="C70" s="3"/>
      <c r="D70" s="3" t="s">
        <v>61</v>
      </c>
      <c r="E70" s="3" t="s">
        <v>143</v>
      </c>
      <c r="F70" s="64">
        <f>50*30.4*3.75</f>
        <v>5700</v>
      </c>
      <c r="G70" s="57" t="s">
        <v>69</v>
      </c>
      <c r="H70" s="13"/>
      <c r="I70" s="13">
        <f>F70*H70</f>
        <v>0</v>
      </c>
      <c r="J70" s="13">
        <f aca="true" t="shared" si="35" ref="J70:J86">I70*$L$8</f>
        <v>0</v>
      </c>
      <c r="K70" s="13"/>
      <c r="L70" s="13">
        <f>F70*K70</f>
        <v>0</v>
      </c>
      <c r="M70" s="62">
        <v>615.49</v>
      </c>
      <c r="N70" s="13">
        <f>F70*M70</f>
        <v>3508293</v>
      </c>
      <c r="O70" s="13"/>
      <c r="P70" s="13">
        <f>F70*O70</f>
        <v>0</v>
      </c>
      <c r="Q70" s="38"/>
      <c r="R70" s="13">
        <f>(J70+L70+N70+P70)*Q70</f>
        <v>0</v>
      </c>
      <c r="S70" s="13">
        <f>J70+L70+N70+P70+R70</f>
        <v>3508293</v>
      </c>
      <c r="T70" s="38">
        <v>0.5</v>
      </c>
      <c r="U70" s="13">
        <f>S70*T70</f>
        <v>1754146.5</v>
      </c>
      <c r="V70" s="13">
        <f>S70+U70</f>
        <v>5262439.5</v>
      </c>
      <c r="W70" s="3"/>
      <c r="X70" s="3"/>
      <c r="Y70" s="3"/>
      <c r="AA70" s="88"/>
      <c r="AB70" s="89"/>
      <c r="AC70" s="81"/>
    </row>
    <row r="71" spans="1:29" s="4" customFormat="1" ht="22.5">
      <c r="A71" s="50">
        <v>2.02</v>
      </c>
      <c r="B71" s="3"/>
      <c r="C71" s="3"/>
      <c r="D71" s="37" t="s">
        <v>46</v>
      </c>
      <c r="E71" s="3"/>
      <c r="F71" s="66">
        <v>0.03</v>
      </c>
      <c r="G71" s="57"/>
      <c r="H71" s="13"/>
      <c r="I71" s="13">
        <f>F71*H71</f>
        <v>0</v>
      </c>
      <c r="J71" s="13">
        <f t="shared" si="35"/>
        <v>0</v>
      </c>
      <c r="K71" s="13"/>
      <c r="L71" s="13">
        <f>F71*K71</f>
        <v>0</v>
      </c>
      <c r="M71" s="62">
        <f>S66</f>
        <v>11882253.12734815</v>
      </c>
      <c r="N71" s="13">
        <f>F71*M71</f>
        <v>356467.5938204445</v>
      </c>
      <c r="O71" s="13"/>
      <c r="P71" s="13">
        <f>F71*O71</f>
        <v>0</v>
      </c>
      <c r="Q71" s="38"/>
      <c r="R71" s="13">
        <f>(J71+L71+N71+P71)*Q71</f>
        <v>0</v>
      </c>
      <c r="S71" s="13">
        <f>J71+L71+N71+P71+R71</f>
        <v>356467.5938204445</v>
      </c>
      <c r="T71" s="38">
        <v>0.5</v>
      </c>
      <c r="U71" s="13">
        <f>S71*T71</f>
        <v>178233.79691022224</v>
      </c>
      <c r="V71" s="13">
        <f>S71+U71</f>
        <v>534701.3907306667</v>
      </c>
      <c r="W71" s="3"/>
      <c r="X71" s="3"/>
      <c r="Y71" s="3"/>
      <c r="AB71" s="43"/>
      <c r="AC71" s="81"/>
    </row>
    <row r="72" spans="1:29" s="4" customFormat="1" ht="22.5">
      <c r="A72" s="50">
        <v>2.03</v>
      </c>
      <c r="B72" s="3"/>
      <c r="C72" s="3"/>
      <c r="D72" s="3" t="s">
        <v>68</v>
      </c>
      <c r="E72" s="3" t="s">
        <v>99</v>
      </c>
      <c r="F72" s="64">
        <v>7</v>
      </c>
      <c r="G72" s="57" t="s">
        <v>77</v>
      </c>
      <c r="H72" s="13"/>
      <c r="I72" s="13">
        <f aca="true" t="shared" si="36" ref="I72:I86">F72*H72</f>
        <v>0</v>
      </c>
      <c r="J72" s="13">
        <f t="shared" si="35"/>
        <v>0</v>
      </c>
      <c r="K72" s="13"/>
      <c r="L72" s="13">
        <f aca="true" t="shared" si="37" ref="L72:L86">F72*K72</f>
        <v>0</v>
      </c>
      <c r="M72" s="75">
        <f>378.23*12</f>
        <v>4538.76</v>
      </c>
      <c r="N72" s="13">
        <f aca="true" t="shared" si="38" ref="N72:N86">F72*M72</f>
        <v>31771.32</v>
      </c>
      <c r="O72" s="13"/>
      <c r="P72" s="13">
        <f aca="true" t="shared" si="39" ref="P72:P86">F72*O72</f>
        <v>0</v>
      </c>
      <c r="Q72" s="38"/>
      <c r="R72" s="13">
        <f aca="true" t="shared" si="40" ref="R72:R86">(J72+L72+N72+P72)*Q72</f>
        <v>0</v>
      </c>
      <c r="S72" s="13">
        <f aca="true" t="shared" si="41" ref="S72:S86">J72+L72+N72+P72+R72</f>
        <v>31771.32</v>
      </c>
      <c r="T72" s="38">
        <v>0.5</v>
      </c>
      <c r="U72" s="13">
        <f aca="true" t="shared" si="42" ref="U72:U86">S72*T72</f>
        <v>15885.66</v>
      </c>
      <c r="V72" s="13">
        <f aca="true" t="shared" si="43" ref="V72:V86">S72+U72</f>
        <v>47656.979999999996</v>
      </c>
      <c r="W72" s="3"/>
      <c r="X72" s="3"/>
      <c r="Y72" s="3"/>
      <c r="AB72" s="43"/>
      <c r="AC72" s="81"/>
    </row>
    <row r="73" spans="1:29" s="4" customFormat="1" ht="11.25">
      <c r="A73" s="50">
        <v>2.04</v>
      </c>
      <c r="B73" s="3"/>
      <c r="C73" s="3"/>
      <c r="D73" s="3" t="s">
        <v>124</v>
      </c>
      <c r="E73" s="3" t="s">
        <v>125</v>
      </c>
      <c r="F73" s="64">
        <f>5*30.4</f>
        <v>152</v>
      </c>
      <c r="G73" s="57" t="s">
        <v>77</v>
      </c>
      <c r="H73" s="13"/>
      <c r="I73" s="13">
        <f t="shared" si="36"/>
        <v>0</v>
      </c>
      <c r="J73" s="13">
        <f t="shared" si="35"/>
        <v>0</v>
      </c>
      <c r="K73" s="13"/>
      <c r="L73" s="13">
        <f t="shared" si="37"/>
        <v>0</v>
      </c>
      <c r="M73" s="65">
        <f>223.1*12</f>
        <v>2677.2</v>
      </c>
      <c r="N73" s="13">
        <f t="shared" si="38"/>
        <v>406934.39999999997</v>
      </c>
      <c r="O73" s="13"/>
      <c r="P73" s="13">
        <f t="shared" si="39"/>
        <v>0</v>
      </c>
      <c r="Q73" s="38"/>
      <c r="R73" s="13">
        <f t="shared" si="40"/>
        <v>0</v>
      </c>
      <c r="S73" s="13">
        <f t="shared" si="41"/>
        <v>406934.39999999997</v>
      </c>
      <c r="T73" s="38">
        <v>0.5</v>
      </c>
      <c r="U73" s="13">
        <f t="shared" si="42"/>
        <v>203467.19999999998</v>
      </c>
      <c r="V73" s="13">
        <f t="shared" si="43"/>
        <v>610401.6</v>
      </c>
      <c r="W73" s="3"/>
      <c r="X73" s="3"/>
      <c r="Y73" s="3"/>
      <c r="AB73" s="43"/>
      <c r="AC73" s="81"/>
    </row>
    <row r="74" spans="1:29" s="4" customFormat="1" ht="22.5">
      <c r="A74" s="50">
        <v>2.05</v>
      </c>
      <c r="B74" s="3"/>
      <c r="C74" s="3"/>
      <c r="D74" s="3" t="s">
        <v>47</v>
      </c>
      <c r="E74" s="3" t="s">
        <v>104</v>
      </c>
      <c r="F74" s="64"/>
      <c r="G74" s="2"/>
      <c r="H74" s="13"/>
      <c r="I74" s="13">
        <f t="shared" si="36"/>
        <v>0</v>
      </c>
      <c r="J74" s="13">
        <f t="shared" si="35"/>
        <v>0</v>
      </c>
      <c r="K74" s="13"/>
      <c r="L74" s="13">
        <f t="shared" si="37"/>
        <v>0</v>
      </c>
      <c r="M74" s="13"/>
      <c r="N74" s="13">
        <f t="shared" si="38"/>
        <v>0</v>
      </c>
      <c r="O74" s="13"/>
      <c r="P74" s="13">
        <f t="shared" si="39"/>
        <v>0</v>
      </c>
      <c r="Q74" s="38"/>
      <c r="R74" s="13">
        <f t="shared" si="40"/>
        <v>0</v>
      </c>
      <c r="S74" s="13">
        <f t="shared" si="41"/>
        <v>0</v>
      </c>
      <c r="T74" s="38"/>
      <c r="U74" s="13">
        <f t="shared" si="42"/>
        <v>0</v>
      </c>
      <c r="V74" s="13">
        <f t="shared" si="43"/>
        <v>0</v>
      </c>
      <c r="W74" s="3"/>
      <c r="X74" s="3"/>
      <c r="Y74" s="3"/>
      <c r="AB74" s="43"/>
      <c r="AC74" s="81"/>
    </row>
    <row r="75" spans="1:29" s="4" customFormat="1" ht="11.25">
      <c r="A75" s="50">
        <v>2.06</v>
      </c>
      <c r="B75" s="3"/>
      <c r="C75" s="3"/>
      <c r="D75" s="3" t="s">
        <v>48</v>
      </c>
      <c r="E75" s="3" t="s">
        <v>104</v>
      </c>
      <c r="F75" s="64"/>
      <c r="G75" s="2"/>
      <c r="H75" s="13"/>
      <c r="I75" s="13">
        <f t="shared" si="36"/>
        <v>0</v>
      </c>
      <c r="J75" s="13">
        <f t="shared" si="35"/>
        <v>0</v>
      </c>
      <c r="K75" s="13"/>
      <c r="L75" s="13">
        <f t="shared" si="37"/>
        <v>0</v>
      </c>
      <c r="M75" s="13"/>
      <c r="N75" s="13">
        <f t="shared" si="38"/>
        <v>0</v>
      </c>
      <c r="O75" s="13"/>
      <c r="P75" s="13">
        <f t="shared" si="39"/>
        <v>0</v>
      </c>
      <c r="Q75" s="38"/>
      <c r="R75" s="13">
        <f t="shared" si="40"/>
        <v>0</v>
      </c>
      <c r="S75" s="13">
        <f t="shared" si="41"/>
        <v>0</v>
      </c>
      <c r="T75" s="38"/>
      <c r="U75" s="13">
        <f t="shared" si="42"/>
        <v>0</v>
      </c>
      <c r="V75" s="13">
        <f t="shared" si="43"/>
        <v>0</v>
      </c>
      <c r="W75" s="3"/>
      <c r="X75" s="3"/>
      <c r="Y75" s="3"/>
      <c r="AB75" s="43"/>
      <c r="AC75" s="81"/>
    </row>
    <row r="76" spans="1:29" s="4" customFormat="1" ht="11.25">
      <c r="A76" s="50">
        <v>2.07</v>
      </c>
      <c r="B76" s="3"/>
      <c r="C76" s="3"/>
      <c r="D76" s="3" t="s">
        <v>49</v>
      </c>
      <c r="E76" s="3" t="s">
        <v>104</v>
      </c>
      <c r="F76" s="64"/>
      <c r="G76" s="2"/>
      <c r="H76" s="13"/>
      <c r="I76" s="13">
        <f t="shared" si="36"/>
        <v>0</v>
      </c>
      <c r="J76" s="13">
        <f t="shared" si="35"/>
        <v>0</v>
      </c>
      <c r="K76" s="13"/>
      <c r="L76" s="13">
        <f t="shared" si="37"/>
        <v>0</v>
      </c>
      <c r="M76" s="13"/>
      <c r="N76" s="13">
        <f t="shared" si="38"/>
        <v>0</v>
      </c>
      <c r="O76" s="13"/>
      <c r="P76" s="13">
        <f t="shared" si="39"/>
        <v>0</v>
      </c>
      <c r="Q76" s="38"/>
      <c r="R76" s="13">
        <f t="shared" si="40"/>
        <v>0</v>
      </c>
      <c r="S76" s="13">
        <f t="shared" si="41"/>
        <v>0</v>
      </c>
      <c r="T76" s="38"/>
      <c r="U76" s="13">
        <f t="shared" si="42"/>
        <v>0</v>
      </c>
      <c r="V76" s="13">
        <f t="shared" si="43"/>
        <v>0</v>
      </c>
      <c r="W76" s="3"/>
      <c r="X76" s="3"/>
      <c r="Y76" s="3"/>
      <c r="AB76" s="43"/>
      <c r="AC76" s="81"/>
    </row>
    <row r="77" spans="1:29" s="4" customFormat="1" ht="49.5" customHeight="1">
      <c r="A77" s="50">
        <v>2.08</v>
      </c>
      <c r="B77" s="3"/>
      <c r="C77" s="3"/>
      <c r="D77" s="3" t="s">
        <v>50</v>
      </c>
      <c r="E77" s="3" t="s">
        <v>100</v>
      </c>
      <c r="F77" s="64">
        <f>50*3.75*2</f>
        <v>375</v>
      </c>
      <c r="G77" s="57" t="s">
        <v>93</v>
      </c>
      <c r="H77" s="13"/>
      <c r="I77" s="13">
        <f>F77*H77</f>
        <v>0</v>
      </c>
      <c r="J77" s="13">
        <f t="shared" si="35"/>
        <v>0</v>
      </c>
      <c r="K77" s="13"/>
      <c r="L77" s="13">
        <f>F77*K77</f>
        <v>0</v>
      </c>
      <c r="M77" s="62">
        <f>984+(2*80)</f>
        <v>1144</v>
      </c>
      <c r="N77" s="13">
        <f>F77*M77</f>
        <v>429000</v>
      </c>
      <c r="O77" s="13"/>
      <c r="P77" s="13">
        <f>F77*O77</f>
        <v>0</v>
      </c>
      <c r="Q77" s="38"/>
      <c r="R77" s="13">
        <f>(J77+L77+N77+P77)*Q77</f>
        <v>0</v>
      </c>
      <c r="S77" s="13">
        <f>J77+L77+N77+P77+R77</f>
        <v>429000</v>
      </c>
      <c r="T77" s="38">
        <v>0.5</v>
      </c>
      <c r="U77" s="13">
        <f>S77*T77</f>
        <v>214500</v>
      </c>
      <c r="V77" s="13">
        <f>S77+U77</f>
        <v>643500</v>
      </c>
      <c r="W77" s="3"/>
      <c r="X77" s="3"/>
      <c r="Y77" s="3"/>
      <c r="AB77" s="43"/>
      <c r="AC77" s="81"/>
    </row>
    <row r="78" spans="1:29" s="4" customFormat="1" ht="11.25">
      <c r="A78" s="50">
        <v>2.09</v>
      </c>
      <c r="B78" s="3"/>
      <c r="C78" s="3"/>
      <c r="D78" s="3" t="s">
        <v>51</v>
      </c>
      <c r="E78" s="3" t="s">
        <v>104</v>
      </c>
      <c r="F78" s="64"/>
      <c r="G78" s="2"/>
      <c r="H78" s="13"/>
      <c r="I78" s="13">
        <f>F78*H78</f>
        <v>0</v>
      </c>
      <c r="J78" s="13">
        <f t="shared" si="35"/>
        <v>0</v>
      </c>
      <c r="K78" s="13"/>
      <c r="L78" s="13">
        <f>F78*K78</f>
        <v>0</v>
      </c>
      <c r="M78" s="13"/>
      <c r="N78" s="13">
        <f>F78*M78</f>
        <v>0</v>
      </c>
      <c r="O78" s="13"/>
      <c r="P78" s="13">
        <f>F78*O78</f>
        <v>0</v>
      </c>
      <c r="Q78" s="38"/>
      <c r="R78" s="13">
        <f>(J78+L78+N78+P78)*Q78</f>
        <v>0</v>
      </c>
      <c r="S78" s="13">
        <f>J78+L78+N78+P78+R78</f>
        <v>0</v>
      </c>
      <c r="T78" s="38"/>
      <c r="U78" s="13">
        <f>S78*T78</f>
        <v>0</v>
      </c>
      <c r="V78" s="13">
        <f>S78+U78</f>
        <v>0</v>
      </c>
      <c r="W78" s="3"/>
      <c r="X78" s="3"/>
      <c r="Y78" s="3"/>
      <c r="AB78" s="43"/>
      <c r="AC78" s="81"/>
    </row>
    <row r="79" spans="1:29" s="4" customFormat="1" ht="11.25">
      <c r="A79" s="50">
        <v>2.1</v>
      </c>
      <c r="B79" s="3"/>
      <c r="C79" s="3"/>
      <c r="D79" s="3" t="s">
        <v>52</v>
      </c>
      <c r="E79" s="3" t="s">
        <v>123</v>
      </c>
      <c r="F79" s="64">
        <f>6+3</f>
        <v>9</v>
      </c>
      <c r="G79" s="57" t="s">
        <v>128</v>
      </c>
      <c r="H79" s="13"/>
      <c r="I79" s="13">
        <f>F79*H79</f>
        <v>0</v>
      </c>
      <c r="J79" s="13">
        <f t="shared" si="35"/>
        <v>0</v>
      </c>
      <c r="K79" s="13"/>
      <c r="L79" s="13">
        <f>F79*K79</f>
        <v>0</v>
      </c>
      <c r="M79" s="62">
        <v>9361.68</v>
      </c>
      <c r="N79" s="13">
        <f>F79*M79</f>
        <v>84255.12</v>
      </c>
      <c r="O79" s="13"/>
      <c r="P79" s="13">
        <f>F79*O79</f>
        <v>0</v>
      </c>
      <c r="Q79" s="38"/>
      <c r="R79" s="13">
        <f>(J79+L79+N79+P79)*Q79</f>
        <v>0</v>
      </c>
      <c r="S79" s="13">
        <f>J79+L79+N79+P79+R79</f>
        <v>84255.12</v>
      </c>
      <c r="T79" s="38">
        <v>0.5</v>
      </c>
      <c r="U79" s="13">
        <f>S79*T79</f>
        <v>42127.56</v>
      </c>
      <c r="V79" s="13">
        <f>S79+U79</f>
        <v>126382.68</v>
      </c>
      <c r="W79" s="3"/>
      <c r="X79" s="3"/>
      <c r="Y79" s="3"/>
      <c r="AB79" s="43"/>
      <c r="AC79" s="81"/>
    </row>
    <row r="80" spans="1:29" s="4" customFormat="1" ht="11.25">
      <c r="A80" s="50">
        <v>2.11</v>
      </c>
      <c r="B80" s="3"/>
      <c r="C80" s="3"/>
      <c r="D80" s="3" t="s">
        <v>53</v>
      </c>
      <c r="E80" s="3" t="s">
        <v>104</v>
      </c>
      <c r="F80" s="64"/>
      <c r="G80" s="2"/>
      <c r="H80" s="13"/>
      <c r="I80" s="13">
        <f>F80*H80</f>
        <v>0</v>
      </c>
      <c r="J80" s="13">
        <f t="shared" si="35"/>
        <v>0</v>
      </c>
      <c r="K80" s="13"/>
      <c r="L80" s="13">
        <f>F80*K80</f>
        <v>0</v>
      </c>
      <c r="M80" s="13"/>
      <c r="N80" s="13">
        <f>F80*M80</f>
        <v>0</v>
      </c>
      <c r="O80" s="13"/>
      <c r="P80" s="13">
        <f>F80*O80</f>
        <v>0</v>
      </c>
      <c r="Q80" s="38"/>
      <c r="R80" s="13">
        <f>(J80+L80+N80+P80)*Q80</f>
        <v>0</v>
      </c>
      <c r="S80" s="13">
        <f>J80+L80+N80+P80+R80</f>
        <v>0</v>
      </c>
      <c r="T80" s="38"/>
      <c r="U80" s="13">
        <f>S80*T80</f>
        <v>0</v>
      </c>
      <c r="V80" s="13">
        <f>S80+U80</f>
        <v>0</v>
      </c>
      <c r="W80" s="3"/>
      <c r="X80" s="3"/>
      <c r="Y80" s="3"/>
      <c r="AB80" s="43"/>
      <c r="AC80" s="81"/>
    </row>
    <row r="81" spans="1:29" s="4" customFormat="1" ht="11.25">
      <c r="A81" s="50">
        <v>2.12</v>
      </c>
      <c r="B81" s="3"/>
      <c r="C81" s="3"/>
      <c r="D81" s="3" t="s">
        <v>54</v>
      </c>
      <c r="E81" s="3" t="s">
        <v>104</v>
      </c>
      <c r="F81" s="64"/>
      <c r="G81" s="2"/>
      <c r="H81" s="13"/>
      <c r="I81" s="13">
        <f>F81*H81</f>
        <v>0</v>
      </c>
      <c r="J81" s="13">
        <f t="shared" si="35"/>
        <v>0</v>
      </c>
      <c r="K81" s="13"/>
      <c r="L81" s="13">
        <f>F81*K81</f>
        <v>0</v>
      </c>
      <c r="M81" s="13"/>
      <c r="N81" s="13">
        <f>F81*M81</f>
        <v>0</v>
      </c>
      <c r="O81" s="13"/>
      <c r="P81" s="13">
        <f>F81*O81</f>
        <v>0</v>
      </c>
      <c r="Q81" s="38"/>
      <c r="R81" s="13">
        <f>(J81+L81+N81+P81)*Q81</f>
        <v>0</v>
      </c>
      <c r="S81" s="13">
        <f>J81+L81+N81+P81+R81</f>
        <v>0</v>
      </c>
      <c r="T81" s="38"/>
      <c r="U81" s="13">
        <f>S81*T81</f>
        <v>0</v>
      </c>
      <c r="V81" s="13">
        <f>S81+U81</f>
        <v>0</v>
      </c>
      <c r="W81" s="3"/>
      <c r="X81" s="3"/>
      <c r="Y81" s="3"/>
      <c r="AB81" s="43"/>
      <c r="AC81" s="81"/>
    </row>
    <row r="82" spans="1:29" s="4" customFormat="1" ht="11.25">
      <c r="A82" s="50">
        <v>2.13</v>
      </c>
      <c r="B82" s="3"/>
      <c r="C82" s="3"/>
      <c r="D82" s="3" t="s">
        <v>55</v>
      </c>
      <c r="E82" s="3" t="s">
        <v>104</v>
      </c>
      <c r="F82" s="64"/>
      <c r="G82" s="2"/>
      <c r="H82" s="13"/>
      <c r="I82" s="13">
        <f t="shared" si="36"/>
        <v>0</v>
      </c>
      <c r="J82" s="13">
        <f t="shared" si="35"/>
        <v>0</v>
      </c>
      <c r="K82" s="13"/>
      <c r="L82" s="13">
        <f t="shared" si="37"/>
        <v>0</v>
      </c>
      <c r="M82" s="13"/>
      <c r="N82" s="13">
        <f t="shared" si="38"/>
        <v>0</v>
      </c>
      <c r="O82" s="13"/>
      <c r="P82" s="13">
        <f t="shared" si="39"/>
        <v>0</v>
      </c>
      <c r="Q82" s="38"/>
      <c r="R82" s="13">
        <f t="shared" si="40"/>
        <v>0</v>
      </c>
      <c r="S82" s="13">
        <f t="shared" si="41"/>
        <v>0</v>
      </c>
      <c r="T82" s="38"/>
      <c r="U82" s="13">
        <f t="shared" si="42"/>
        <v>0</v>
      </c>
      <c r="V82" s="13">
        <f t="shared" si="43"/>
        <v>0</v>
      </c>
      <c r="W82" s="3"/>
      <c r="X82" s="3"/>
      <c r="Y82" s="3"/>
      <c r="AB82" s="43"/>
      <c r="AC82" s="81"/>
    </row>
    <row r="83" spans="1:29" s="4" customFormat="1" ht="22.5">
      <c r="A83" s="50">
        <v>2.14</v>
      </c>
      <c r="B83" s="3"/>
      <c r="C83" s="3"/>
      <c r="D83" s="3" t="s">
        <v>56</v>
      </c>
      <c r="E83" s="3"/>
      <c r="F83" s="66">
        <v>0.02</v>
      </c>
      <c r="G83" s="57"/>
      <c r="H83" s="13"/>
      <c r="I83" s="13">
        <f t="shared" si="36"/>
        <v>0</v>
      </c>
      <c r="J83" s="13">
        <f t="shared" si="35"/>
        <v>0</v>
      </c>
      <c r="K83" s="13"/>
      <c r="L83" s="13">
        <f t="shared" si="37"/>
        <v>0</v>
      </c>
      <c r="M83" s="62">
        <f>S66</f>
        <v>11882253.12734815</v>
      </c>
      <c r="N83" s="13">
        <f t="shared" si="38"/>
        <v>237645.062546963</v>
      </c>
      <c r="O83" s="13"/>
      <c r="P83" s="13">
        <f t="shared" si="39"/>
        <v>0</v>
      </c>
      <c r="Q83" s="38"/>
      <c r="R83" s="13">
        <f t="shared" si="40"/>
        <v>0</v>
      </c>
      <c r="S83" s="13">
        <f t="shared" si="41"/>
        <v>237645.062546963</v>
      </c>
      <c r="T83" s="38">
        <v>0.5</v>
      </c>
      <c r="U83" s="13">
        <f t="shared" si="42"/>
        <v>118822.5312734815</v>
      </c>
      <c r="V83" s="13">
        <f t="shared" si="43"/>
        <v>356467.5938204445</v>
      </c>
      <c r="W83" s="3"/>
      <c r="X83" s="3"/>
      <c r="Y83" s="3"/>
      <c r="AB83" s="43"/>
      <c r="AC83" s="81"/>
    </row>
    <row r="84" spans="1:29" s="4" customFormat="1" ht="22.5">
      <c r="A84" s="50">
        <v>2.15</v>
      </c>
      <c r="B84" s="3"/>
      <c r="C84" s="3"/>
      <c r="D84" s="3" t="s">
        <v>63</v>
      </c>
      <c r="E84" s="3"/>
      <c r="F84" s="66">
        <v>0.04</v>
      </c>
      <c r="G84" s="2"/>
      <c r="H84" s="13"/>
      <c r="I84" s="13">
        <f t="shared" si="36"/>
        <v>0</v>
      </c>
      <c r="J84" s="13">
        <f t="shared" si="35"/>
        <v>0</v>
      </c>
      <c r="K84" s="13"/>
      <c r="L84" s="13">
        <f t="shared" si="37"/>
        <v>0</v>
      </c>
      <c r="M84" s="62">
        <f>S66</f>
        <v>11882253.12734815</v>
      </c>
      <c r="N84" s="13">
        <f t="shared" si="38"/>
        <v>475290.125093926</v>
      </c>
      <c r="O84" s="13"/>
      <c r="P84" s="13">
        <f t="shared" si="39"/>
        <v>0</v>
      </c>
      <c r="Q84" s="38"/>
      <c r="R84" s="13">
        <f t="shared" si="40"/>
        <v>0</v>
      </c>
      <c r="S84" s="13">
        <f t="shared" si="41"/>
        <v>475290.125093926</v>
      </c>
      <c r="T84" s="38">
        <v>0.5</v>
      </c>
      <c r="U84" s="13">
        <f t="shared" si="42"/>
        <v>237645.062546963</v>
      </c>
      <c r="V84" s="13">
        <f t="shared" si="43"/>
        <v>712935.187640889</v>
      </c>
      <c r="W84" s="3"/>
      <c r="X84" s="3"/>
      <c r="Y84" s="3"/>
      <c r="AB84" s="43"/>
      <c r="AC84" s="81"/>
    </row>
    <row r="85" spans="1:29" s="4" customFormat="1" ht="11.25">
      <c r="A85" s="50">
        <v>2.16</v>
      </c>
      <c r="B85" s="3"/>
      <c r="C85" s="3"/>
      <c r="D85" s="3" t="s">
        <v>57</v>
      </c>
      <c r="E85" s="3" t="s">
        <v>104</v>
      </c>
      <c r="F85" s="64"/>
      <c r="G85" s="2"/>
      <c r="H85" s="13"/>
      <c r="I85" s="13">
        <f t="shared" si="36"/>
        <v>0</v>
      </c>
      <c r="J85" s="13">
        <f t="shared" si="35"/>
        <v>0</v>
      </c>
      <c r="K85" s="13"/>
      <c r="L85" s="13">
        <f t="shared" si="37"/>
        <v>0</v>
      </c>
      <c r="M85" s="13"/>
      <c r="N85" s="13">
        <f t="shared" si="38"/>
        <v>0</v>
      </c>
      <c r="O85" s="13"/>
      <c r="P85" s="13">
        <f t="shared" si="39"/>
        <v>0</v>
      </c>
      <c r="Q85" s="38"/>
      <c r="R85" s="13">
        <f t="shared" si="40"/>
        <v>0</v>
      </c>
      <c r="S85" s="13">
        <f t="shared" si="41"/>
        <v>0</v>
      </c>
      <c r="T85" s="38"/>
      <c r="U85" s="13">
        <f t="shared" si="42"/>
        <v>0</v>
      </c>
      <c r="V85" s="13">
        <f t="shared" si="43"/>
        <v>0</v>
      </c>
      <c r="W85" s="3"/>
      <c r="X85" s="3"/>
      <c r="Y85" s="3"/>
      <c r="AB85" s="43"/>
      <c r="AC85" s="81"/>
    </row>
    <row r="86" spans="1:29" s="4" customFormat="1" ht="11.25">
      <c r="A86" s="50">
        <v>2.17</v>
      </c>
      <c r="B86" s="3"/>
      <c r="C86" s="3"/>
      <c r="D86" s="3" t="s">
        <v>58</v>
      </c>
      <c r="E86" s="3" t="s">
        <v>104</v>
      </c>
      <c r="F86" s="64"/>
      <c r="G86" s="2"/>
      <c r="H86" s="13"/>
      <c r="I86" s="13">
        <f t="shared" si="36"/>
        <v>0</v>
      </c>
      <c r="J86" s="13">
        <f t="shared" si="35"/>
        <v>0</v>
      </c>
      <c r="K86" s="13"/>
      <c r="L86" s="13">
        <f t="shared" si="37"/>
        <v>0</v>
      </c>
      <c r="M86" s="13"/>
      <c r="N86" s="13">
        <f t="shared" si="38"/>
        <v>0</v>
      </c>
      <c r="O86" s="13"/>
      <c r="P86" s="13">
        <f t="shared" si="39"/>
        <v>0</v>
      </c>
      <c r="Q86" s="38"/>
      <c r="R86" s="13">
        <f t="shared" si="40"/>
        <v>0</v>
      </c>
      <c r="S86" s="13">
        <f t="shared" si="41"/>
        <v>0</v>
      </c>
      <c r="T86" s="38"/>
      <c r="U86" s="13">
        <f t="shared" si="42"/>
        <v>0</v>
      </c>
      <c r="V86" s="13">
        <f t="shared" si="43"/>
        <v>0</v>
      </c>
      <c r="W86" s="3"/>
      <c r="X86" s="3"/>
      <c r="Y86" s="3"/>
      <c r="AB86" s="43"/>
      <c r="AC86" s="81"/>
    </row>
    <row r="87" spans="2:29" s="14" customFormat="1" ht="24.75" customHeight="1">
      <c r="B87" s="126" t="s">
        <v>39</v>
      </c>
      <c r="C87" s="127"/>
      <c r="D87" s="127"/>
      <c r="E87" s="127"/>
      <c r="F87" s="127"/>
      <c r="G87" s="127"/>
      <c r="H87" s="128"/>
      <c r="I87" s="36">
        <f>SUM(I70:I86)</f>
        <v>0</v>
      </c>
      <c r="J87" s="36">
        <f>SUM(J70:J86)</f>
        <v>0</v>
      </c>
      <c r="K87" s="35"/>
      <c r="L87" s="36">
        <f>SUM(L70:L86)</f>
        <v>0</v>
      </c>
      <c r="M87" s="35"/>
      <c r="N87" s="36">
        <f>SUM(N70:N86)</f>
        <v>5529656.621461333</v>
      </c>
      <c r="O87" s="35"/>
      <c r="P87" s="36">
        <f>SUM(P70:P86)</f>
        <v>0</v>
      </c>
      <c r="Q87" s="41">
        <f>R87/S87</f>
        <v>0</v>
      </c>
      <c r="R87" s="36">
        <f>SUM(R70:R86)</f>
        <v>0</v>
      </c>
      <c r="S87" s="36">
        <f>SUM(S70:S86)</f>
        <v>5529656.621461333</v>
      </c>
      <c r="T87" s="41">
        <f>U87/S87</f>
        <v>0.5</v>
      </c>
      <c r="U87" s="36">
        <f>SUM(U70:U86)</f>
        <v>2764828.3107306664</v>
      </c>
      <c r="V87" s="36">
        <f>SUM(V70:V86)</f>
        <v>8294484.932192</v>
      </c>
      <c r="W87" s="4"/>
      <c r="X87" s="4"/>
      <c r="Y87" s="4"/>
      <c r="AB87" s="85"/>
      <c r="AC87" s="81"/>
    </row>
    <row r="88" spans="2:29" s="4" customFormat="1" ht="4.5" customHeight="1">
      <c r="B88" s="45"/>
      <c r="C88" s="45"/>
      <c r="D88" s="45"/>
      <c r="E88" s="45"/>
      <c r="F88" s="46"/>
      <c r="G88" s="61"/>
      <c r="H88" s="46"/>
      <c r="I88" s="46"/>
      <c r="J88" s="46"/>
      <c r="K88" s="46"/>
      <c r="L88" s="46"/>
      <c r="M88" s="46"/>
      <c r="N88" s="46"/>
      <c r="O88" s="46"/>
      <c r="P88" s="46"/>
      <c r="Q88" s="47"/>
      <c r="R88" s="46"/>
      <c r="S88" s="46"/>
      <c r="T88" s="47"/>
      <c r="U88" s="46"/>
      <c r="V88" s="46"/>
      <c r="W88" s="45"/>
      <c r="X88" s="45"/>
      <c r="Y88" s="45"/>
      <c r="AC88" s="81"/>
    </row>
    <row r="89" spans="2:29" s="4" customFormat="1" ht="11.25">
      <c r="B89" s="49" t="s">
        <v>40</v>
      </c>
      <c r="C89" s="45"/>
      <c r="D89" s="45"/>
      <c r="E89" s="45"/>
      <c r="F89" s="46"/>
      <c r="G89" s="61"/>
      <c r="H89" s="46"/>
      <c r="I89" s="46"/>
      <c r="J89" s="46"/>
      <c r="K89" s="46"/>
      <c r="L89" s="46"/>
      <c r="M89" s="46"/>
      <c r="N89" s="46"/>
      <c r="O89" s="46"/>
      <c r="P89" s="46"/>
      <c r="Q89" s="47"/>
      <c r="R89" s="46"/>
      <c r="S89" s="46"/>
      <c r="T89" s="47"/>
      <c r="U89" s="46"/>
      <c r="V89" s="46"/>
      <c r="W89" s="45"/>
      <c r="X89" s="45"/>
      <c r="Y89" s="45"/>
      <c r="AB89" s="43"/>
      <c r="AC89" s="81"/>
    </row>
    <row r="90" spans="2:29" s="4" customFormat="1" ht="4.5" customHeight="1">
      <c r="B90" s="45"/>
      <c r="C90" s="45"/>
      <c r="D90" s="45"/>
      <c r="E90" s="45"/>
      <c r="F90" s="46"/>
      <c r="G90" s="61"/>
      <c r="H90" s="46"/>
      <c r="I90" s="46"/>
      <c r="J90" s="46"/>
      <c r="K90" s="46"/>
      <c r="L90" s="46"/>
      <c r="M90" s="46"/>
      <c r="N90" s="46"/>
      <c r="O90" s="46"/>
      <c r="P90" s="46"/>
      <c r="Q90" s="47"/>
      <c r="R90" s="46"/>
      <c r="S90" s="46"/>
      <c r="T90" s="47"/>
      <c r="U90" s="46"/>
      <c r="V90" s="46"/>
      <c r="W90" s="45"/>
      <c r="X90" s="45"/>
      <c r="Y90" s="45"/>
      <c r="AB90" s="43"/>
      <c r="AC90" s="81"/>
    </row>
    <row r="91" spans="1:29" s="4" customFormat="1" ht="11.25">
      <c r="A91" s="50">
        <v>3.01</v>
      </c>
      <c r="B91" s="3"/>
      <c r="C91" s="3"/>
      <c r="D91" s="3" t="s">
        <v>42</v>
      </c>
      <c r="E91" s="3"/>
      <c r="F91" s="66">
        <v>0.1</v>
      </c>
      <c r="G91" s="2"/>
      <c r="H91" s="13"/>
      <c r="I91" s="13">
        <f>F91*H91</f>
        <v>0</v>
      </c>
      <c r="J91" s="13">
        <f>I91*$L$8</f>
        <v>0</v>
      </c>
      <c r="K91" s="13"/>
      <c r="L91" s="13">
        <f>F91*K91</f>
        <v>0</v>
      </c>
      <c r="M91" s="65">
        <f>S66+S87</f>
        <v>17411909.748809483</v>
      </c>
      <c r="N91" s="13">
        <f>F91*M91</f>
        <v>1741190.9748809484</v>
      </c>
      <c r="O91" s="13"/>
      <c r="P91" s="13">
        <f>F91*O91</f>
        <v>0</v>
      </c>
      <c r="Q91" s="38"/>
      <c r="R91" s="13">
        <f>(J91+L91+N91+P91)*Q91</f>
        <v>0</v>
      </c>
      <c r="S91" s="13">
        <f>J91+L91+N91+P91+R91</f>
        <v>1741190.9748809484</v>
      </c>
      <c r="T91" s="38">
        <v>0.5</v>
      </c>
      <c r="U91" s="13">
        <f>S91*T91</f>
        <v>870595.4874404742</v>
      </c>
      <c r="V91" s="13">
        <f>S91+U91</f>
        <v>2611786.4623214225</v>
      </c>
      <c r="W91" s="3"/>
      <c r="X91" s="3"/>
      <c r="Y91" s="3"/>
      <c r="AB91" s="43"/>
      <c r="AC91" s="81"/>
    </row>
    <row r="92" spans="1:29" s="4" customFormat="1" ht="11.25">
      <c r="A92" s="50">
        <v>3.02</v>
      </c>
      <c r="B92" s="3"/>
      <c r="C92" s="3"/>
      <c r="D92" s="3" t="s">
        <v>32</v>
      </c>
      <c r="E92" s="3"/>
      <c r="F92" s="13"/>
      <c r="G92" s="2"/>
      <c r="H92" s="13"/>
      <c r="I92" s="13">
        <f>F92*H92</f>
        <v>0</v>
      </c>
      <c r="J92" s="13">
        <f>I92*$L$8</f>
        <v>0</v>
      </c>
      <c r="K92" s="13"/>
      <c r="L92" s="13">
        <f>F92*K92</f>
        <v>0</v>
      </c>
      <c r="M92" s="13"/>
      <c r="N92" s="13">
        <f>F92*M92</f>
        <v>0</v>
      </c>
      <c r="O92" s="13"/>
      <c r="P92" s="13">
        <f>F92*O92</f>
        <v>0</v>
      </c>
      <c r="Q92" s="38"/>
      <c r="R92" s="13">
        <f>(J92+L92+N92+P92)*Q92</f>
        <v>0</v>
      </c>
      <c r="S92" s="13">
        <f>J92+L92+N92+P92+R92</f>
        <v>0</v>
      </c>
      <c r="T92" s="38"/>
      <c r="U92" s="13">
        <f>S92*T92</f>
        <v>0</v>
      </c>
      <c r="V92" s="13">
        <f>S92+U92</f>
        <v>0</v>
      </c>
      <c r="W92" s="3"/>
      <c r="X92" s="3"/>
      <c r="Y92" s="3"/>
      <c r="AB92" s="43"/>
      <c r="AC92" s="81"/>
    </row>
    <row r="93" spans="1:29" s="4" customFormat="1" ht="11.25">
      <c r="A93" s="50">
        <v>3.03</v>
      </c>
      <c r="B93" s="3"/>
      <c r="C93" s="3"/>
      <c r="D93" s="3" t="s">
        <v>36</v>
      </c>
      <c r="E93" s="3"/>
      <c r="F93" s="13"/>
      <c r="G93" s="2"/>
      <c r="H93" s="13"/>
      <c r="I93" s="13">
        <f>F93*H93</f>
        <v>0</v>
      </c>
      <c r="J93" s="13">
        <f>I93*$L$8</f>
        <v>0</v>
      </c>
      <c r="K93" s="13"/>
      <c r="L93" s="13">
        <f>F93*K93</f>
        <v>0</v>
      </c>
      <c r="M93" s="13"/>
      <c r="N93" s="13">
        <f>F93*M93</f>
        <v>0</v>
      </c>
      <c r="O93" s="13"/>
      <c r="P93" s="13">
        <f>F93*O93</f>
        <v>0</v>
      </c>
      <c r="Q93" s="38"/>
      <c r="R93" s="13">
        <f>(J93+L93+N93+P93)*Q93</f>
        <v>0</v>
      </c>
      <c r="S93" s="13">
        <f>J93+L93+N93+P93+R93</f>
        <v>0</v>
      </c>
      <c r="T93" s="38"/>
      <c r="U93" s="13">
        <f>S93*T93</f>
        <v>0</v>
      </c>
      <c r="V93" s="13">
        <f>S93+U93</f>
        <v>0</v>
      </c>
      <c r="W93" s="3"/>
      <c r="X93" s="3"/>
      <c r="Y93" s="3"/>
      <c r="AB93" s="43"/>
      <c r="AC93" s="81"/>
    </row>
    <row r="94" spans="2:29" s="14" customFormat="1" ht="24.75" customHeight="1">
      <c r="B94" s="126" t="s">
        <v>41</v>
      </c>
      <c r="C94" s="127"/>
      <c r="D94" s="127"/>
      <c r="E94" s="127"/>
      <c r="F94" s="127"/>
      <c r="G94" s="127"/>
      <c r="H94" s="128"/>
      <c r="I94" s="36">
        <f>SUM(I91:I93)</f>
        <v>0</v>
      </c>
      <c r="J94" s="36">
        <f>SUM(J91:J93)</f>
        <v>0</v>
      </c>
      <c r="K94" s="35"/>
      <c r="L94" s="36">
        <f>SUM(L91:L93)</f>
        <v>0</v>
      </c>
      <c r="M94" s="35"/>
      <c r="N94" s="36">
        <f>SUM(N91:N93)</f>
        <v>1741190.9748809484</v>
      </c>
      <c r="O94" s="35"/>
      <c r="P94" s="36">
        <f>SUM(P91:P93)</f>
        <v>0</v>
      </c>
      <c r="Q94" s="41">
        <f>R94/S94</f>
        <v>0</v>
      </c>
      <c r="R94" s="36">
        <f>SUM(R91:R93)</f>
        <v>0</v>
      </c>
      <c r="S94" s="36">
        <f>SUM(S91:S93)</f>
        <v>1741190.9748809484</v>
      </c>
      <c r="T94" s="41">
        <f>U94/S94</f>
        <v>0.5</v>
      </c>
      <c r="U94" s="36">
        <f>SUM(U91:U93)</f>
        <v>870595.4874404742</v>
      </c>
      <c r="V94" s="36">
        <f>SUM(V91:V93)</f>
        <v>2611786.4623214225</v>
      </c>
      <c r="W94" s="4"/>
      <c r="X94" s="4"/>
      <c r="Y94" s="4"/>
      <c r="AB94" s="86"/>
      <c r="AC94" s="87"/>
    </row>
    <row r="95" spans="7:29" s="4" customFormat="1" ht="11.25">
      <c r="G95" s="12"/>
      <c r="AB95" s="43"/>
      <c r="AC95" s="81"/>
    </row>
    <row r="96" spans="2:29" s="14" customFormat="1" ht="24.75" customHeight="1">
      <c r="B96" s="126" t="s">
        <v>44</v>
      </c>
      <c r="C96" s="127"/>
      <c r="D96" s="127"/>
      <c r="E96" s="127"/>
      <c r="F96" s="127"/>
      <c r="G96" s="127"/>
      <c r="H96" s="128"/>
      <c r="I96" s="36"/>
      <c r="J96" s="36"/>
      <c r="K96" s="35"/>
      <c r="L96" s="36"/>
      <c r="M96" s="35"/>
      <c r="N96" s="36"/>
      <c r="O96" s="35"/>
      <c r="P96" s="36"/>
      <c r="Q96" s="41"/>
      <c r="R96" s="36"/>
      <c r="S96" s="36">
        <f>S66+S87+S94</f>
        <v>19153100.72369043</v>
      </c>
      <c r="T96" s="41">
        <f>U96/S96</f>
        <v>0.5</v>
      </c>
      <c r="U96" s="36">
        <f>U66+U87+U94</f>
        <v>9576550.361845216</v>
      </c>
      <c r="V96" s="36">
        <f>V66+V87+V94</f>
        <v>28729651.085535645</v>
      </c>
      <c r="W96" s="4"/>
      <c r="X96" s="4"/>
      <c r="Y96" s="4"/>
      <c r="AB96" s="85"/>
      <c r="AC96" s="82"/>
    </row>
    <row r="97" spans="7:29" s="4" customFormat="1" ht="11.25">
      <c r="G97" s="12"/>
      <c r="AB97" s="43"/>
      <c r="AC97" s="81"/>
    </row>
    <row r="98" spans="7:29" s="4" customFormat="1" ht="11.25">
      <c r="G98" s="12"/>
      <c r="AB98" s="43"/>
      <c r="AC98" s="81"/>
    </row>
    <row r="99" spans="3:29" s="4" customFormat="1" ht="11.25">
      <c r="C99" s="1"/>
      <c r="D99" s="1"/>
      <c r="E99" s="1"/>
      <c r="F99" s="1"/>
      <c r="G99" s="44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Y99" s="1"/>
      <c r="AB99" s="43"/>
      <c r="AC99" s="81"/>
    </row>
    <row r="100" spans="3:29" s="4" customFormat="1" ht="11.25">
      <c r="C100" s="1"/>
      <c r="D100" s="1"/>
      <c r="E100" s="1"/>
      <c r="F100" s="1"/>
      <c r="G100" s="44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Y100" s="1"/>
      <c r="AB100" s="43"/>
      <c r="AC100" s="81"/>
    </row>
    <row r="101" spans="3:29" s="4" customFormat="1" ht="11.25">
      <c r="C101" s="1"/>
      <c r="D101" s="1"/>
      <c r="E101" s="1"/>
      <c r="F101" s="1"/>
      <c r="G101" s="44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Y101" s="1"/>
      <c r="AB101" s="43"/>
      <c r="AC101" s="81"/>
    </row>
    <row r="102" spans="7:29" s="4" customFormat="1" ht="11.25">
      <c r="G102" s="12"/>
      <c r="AB102" s="43"/>
      <c r="AC102" s="81"/>
    </row>
    <row r="103" spans="7:29" s="4" customFormat="1" ht="11.25">
      <c r="G103" s="12"/>
      <c r="AB103" s="43"/>
      <c r="AC103" s="81"/>
    </row>
    <row r="104" spans="7:29" s="4" customFormat="1" ht="11.25">
      <c r="G104" s="12"/>
      <c r="AB104" s="43"/>
      <c r="AC104" s="81"/>
    </row>
    <row r="105" spans="7:29" s="4" customFormat="1" ht="11.25">
      <c r="G105" s="12"/>
      <c r="AB105" s="43"/>
      <c r="AC105" s="81"/>
    </row>
    <row r="106" spans="7:29" s="4" customFormat="1" ht="11.25">
      <c r="G106" s="12"/>
      <c r="AB106" s="43"/>
      <c r="AC106" s="81"/>
    </row>
    <row r="107" spans="7:29" s="4" customFormat="1" ht="11.25">
      <c r="G107" s="12"/>
      <c r="AB107" s="43"/>
      <c r="AC107" s="81"/>
    </row>
    <row r="108" spans="7:29" s="4" customFormat="1" ht="11.25">
      <c r="G108" s="12"/>
      <c r="AB108" s="43"/>
      <c r="AC108" s="81"/>
    </row>
    <row r="109" spans="7:29" s="4" customFormat="1" ht="11.25">
      <c r="G109" s="12"/>
      <c r="AB109" s="43"/>
      <c r="AC109" s="81"/>
    </row>
    <row r="110" spans="7:29" s="4" customFormat="1" ht="11.25">
      <c r="G110" s="12"/>
      <c r="AB110" s="43"/>
      <c r="AC110" s="81"/>
    </row>
    <row r="111" spans="7:29" s="4" customFormat="1" ht="11.25">
      <c r="G111" s="12"/>
      <c r="AB111" s="43"/>
      <c r="AC111" s="81"/>
    </row>
    <row r="112" spans="7:29" s="4" customFormat="1" ht="11.25">
      <c r="G112" s="12"/>
      <c r="AB112" s="43"/>
      <c r="AC112" s="81"/>
    </row>
    <row r="113" spans="7:29" s="4" customFormat="1" ht="11.25">
      <c r="G113" s="12"/>
      <c r="AB113" s="43"/>
      <c r="AC113" s="81"/>
    </row>
    <row r="114" spans="7:29" s="4" customFormat="1" ht="11.25">
      <c r="G114" s="12"/>
      <c r="AB114" s="43"/>
      <c r="AC114" s="81"/>
    </row>
    <row r="115" spans="7:29" s="4" customFormat="1" ht="11.25">
      <c r="G115" s="12"/>
      <c r="AB115" s="43"/>
      <c r="AC115" s="81"/>
    </row>
    <row r="116" spans="7:29" s="4" customFormat="1" ht="11.25">
      <c r="G116" s="12"/>
      <c r="AB116" s="43"/>
      <c r="AC116" s="81"/>
    </row>
    <row r="117" spans="7:29" s="4" customFormat="1" ht="11.25">
      <c r="G117" s="12"/>
      <c r="AB117" s="43"/>
      <c r="AC117" s="81"/>
    </row>
    <row r="118" spans="7:29" s="4" customFormat="1" ht="11.25">
      <c r="G118" s="12"/>
      <c r="AB118" s="43"/>
      <c r="AC118" s="81"/>
    </row>
    <row r="119" spans="7:29" s="4" customFormat="1" ht="11.25">
      <c r="G119" s="12"/>
      <c r="AB119" s="43"/>
      <c r="AC119" s="81"/>
    </row>
    <row r="120" spans="7:29" s="4" customFormat="1" ht="11.25">
      <c r="G120" s="12"/>
      <c r="AB120" s="43"/>
      <c r="AC120" s="81"/>
    </row>
    <row r="121" spans="7:29" s="4" customFormat="1" ht="11.25">
      <c r="G121" s="12"/>
      <c r="AB121" s="43"/>
      <c r="AC121" s="81"/>
    </row>
    <row r="122" spans="7:29" s="4" customFormat="1" ht="11.25">
      <c r="G122" s="12"/>
      <c r="AB122" s="43"/>
      <c r="AC122" s="81"/>
    </row>
    <row r="123" spans="7:29" s="4" customFormat="1" ht="11.25">
      <c r="G123" s="12"/>
      <c r="AB123" s="43"/>
      <c r="AC123" s="81"/>
    </row>
  </sheetData>
  <sheetProtection/>
  <mergeCells count="4">
    <mergeCell ref="B66:H66"/>
    <mergeCell ref="B87:H87"/>
    <mergeCell ref="B94:H94"/>
    <mergeCell ref="B96:H9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3" scale="87" r:id="rId2"/>
  <headerFooter>
    <oddFooter>&amp;CPage &amp;P of &amp;N</oddFooter>
  </headerFooter>
  <ignoredErrors>
    <ignoredError sqref="F48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E43"/>
  <sheetViews>
    <sheetView zoomScalePageLayoutView="0" workbookViewId="0" topLeftCell="A1">
      <selection activeCell="D45" sqref="D45"/>
    </sheetView>
  </sheetViews>
  <sheetFormatPr defaultColWidth="9.33203125" defaultRowHeight="11.25"/>
  <cols>
    <col min="2" max="2" width="25.33203125" style="0" bestFit="1" customWidth="1"/>
    <col min="3" max="3" width="11" style="0" bestFit="1" customWidth="1"/>
    <col min="4" max="4" width="15.66015625" style="0" customWidth="1"/>
    <col min="5" max="5" width="22.66015625" style="0" customWidth="1"/>
  </cols>
  <sheetData>
    <row r="3" spans="2:4" ht="11.25">
      <c r="B3" s="92" t="s">
        <v>163</v>
      </c>
      <c r="C3" s="91"/>
      <c r="D3" s="95"/>
    </row>
    <row r="4" spans="2:4" ht="11.25">
      <c r="B4" s="92" t="s">
        <v>149</v>
      </c>
      <c r="C4" s="92" t="s">
        <v>150</v>
      </c>
      <c r="D4" s="95" t="s">
        <v>162</v>
      </c>
    </row>
    <row r="5" spans="2:4" ht="11.25">
      <c r="B5" s="90" t="s">
        <v>158</v>
      </c>
      <c r="C5" s="91"/>
      <c r="D5" s="96">
        <v>701658.6000000001</v>
      </c>
    </row>
    <row r="6" spans="2:4" ht="11.25">
      <c r="B6" s="90" t="s">
        <v>159</v>
      </c>
      <c r="C6" s="91"/>
      <c r="D6" s="96">
        <v>2081892.5387214343</v>
      </c>
    </row>
    <row r="7" spans="2:4" ht="11.25">
      <c r="B7" s="90" t="s">
        <v>156</v>
      </c>
      <c r="C7" s="91"/>
      <c r="D7" s="96">
        <v>539904</v>
      </c>
    </row>
    <row r="8" spans="2:4" ht="11.25">
      <c r="B8" s="90" t="s">
        <v>152</v>
      </c>
      <c r="C8" s="91"/>
      <c r="D8" s="96">
        <v>1136119.6023000001</v>
      </c>
    </row>
    <row r="9" spans="2:4" ht="11.25">
      <c r="B9" s="90" t="s">
        <v>155</v>
      </c>
      <c r="C9" s="91"/>
      <c r="D9" s="96">
        <v>1210300</v>
      </c>
    </row>
    <row r="10" spans="2:4" ht="11.25">
      <c r="B10" s="90" t="s">
        <v>153</v>
      </c>
      <c r="C10" s="91"/>
      <c r="D10" s="96">
        <v>291352.19</v>
      </c>
    </row>
    <row r="11" spans="2:4" ht="11.25">
      <c r="B11" s="90" t="s">
        <v>154</v>
      </c>
      <c r="C11" s="91"/>
      <c r="D11" s="96">
        <v>293451.33800399996</v>
      </c>
    </row>
    <row r="12" spans="2:4" ht="11.25">
      <c r="B12" s="90" t="s">
        <v>157</v>
      </c>
      <c r="C12" s="91"/>
      <c r="D12" s="96">
        <v>85162.58880000001</v>
      </c>
    </row>
    <row r="13" spans="2:4" ht="11.25">
      <c r="B13" s="90" t="s">
        <v>151</v>
      </c>
      <c r="C13" s="91"/>
      <c r="D13" s="96">
        <v>273180.8943288889</v>
      </c>
    </row>
    <row r="14" spans="2:4" ht="11.25">
      <c r="B14" s="90" t="s">
        <v>160</v>
      </c>
      <c r="C14" s="91"/>
      <c r="D14" s="96">
        <v>0</v>
      </c>
    </row>
    <row r="15" spans="2:4" ht="11.25">
      <c r="B15" s="93" t="s">
        <v>161</v>
      </c>
      <c r="C15" s="94"/>
      <c r="D15" s="97">
        <v>6613021.752154323</v>
      </c>
    </row>
    <row r="18" spans="2:5" ht="11.25">
      <c r="B18" s="98" t="s">
        <v>163</v>
      </c>
      <c r="C18" s="99"/>
      <c r="D18" s="99"/>
      <c r="E18" s="100"/>
    </row>
    <row r="19" spans="2:5" ht="11.25">
      <c r="B19" s="101"/>
      <c r="C19" s="102" t="s">
        <v>164</v>
      </c>
      <c r="D19" s="103"/>
      <c r="E19" s="102" t="s">
        <v>164</v>
      </c>
    </row>
    <row r="20" spans="2:5" ht="11.25">
      <c r="B20" s="104" t="s">
        <v>149</v>
      </c>
      <c r="C20" s="104" t="s">
        <v>165</v>
      </c>
      <c r="D20" s="105" t="s">
        <v>162</v>
      </c>
      <c r="E20" s="104" t="s">
        <v>166</v>
      </c>
    </row>
    <row r="21" spans="2:5" ht="11.25">
      <c r="B21" s="106" t="s">
        <v>158</v>
      </c>
      <c r="C21" s="106"/>
      <c r="D21" s="107">
        <f>GETPIVOTDATA("labour cost",$B$3,"type of labour","Camp  Op &amp; Maintenance")</f>
        <v>701658.6000000001</v>
      </c>
      <c r="E21" s="108">
        <f aca="true" t="shared" si="0" ref="E21:E29">D21/$D$30</f>
        <v>0.10610256949047851</v>
      </c>
    </row>
    <row r="22" spans="2:5" ht="11.25">
      <c r="B22" s="106" t="s">
        <v>159</v>
      </c>
      <c r="C22" s="106"/>
      <c r="D22" s="107">
        <f>GETPIVOTDATA("labour cost",$B$3,"type of labour","Engineering")</f>
        <v>2081892.5387214343</v>
      </c>
      <c r="E22" s="108">
        <f t="shared" si="0"/>
        <v>0.31481713152436197</v>
      </c>
    </row>
    <row r="23" spans="2:5" ht="11.25">
      <c r="B23" s="106" t="s">
        <v>156</v>
      </c>
      <c r="C23" s="106"/>
      <c r="D23" s="107">
        <f>GETPIVOTDATA("labour cost",$B$3,"type of labour","Equip Maintenance")</f>
        <v>539904</v>
      </c>
      <c r="E23" s="108">
        <f t="shared" si="0"/>
        <v>0.08164255619212435</v>
      </c>
    </row>
    <row r="24" spans="2:5" ht="11.25">
      <c r="B24" s="106" t="s">
        <v>152</v>
      </c>
      <c r="C24" s="106"/>
      <c r="D24" s="107">
        <f>GETPIVOTDATA("labour cost",$B$3,"type of labour","Equip Op")</f>
        <v>1136119.6023000001</v>
      </c>
      <c r="E24" s="108">
        <f t="shared" si="0"/>
        <v>0.17180037279174026</v>
      </c>
    </row>
    <row r="25" spans="2:5" ht="11.25">
      <c r="B25" s="106" t="s">
        <v>155</v>
      </c>
      <c r="C25" s="106"/>
      <c r="D25" s="107">
        <f>GETPIVOTDATA("labour cost",$B$3,"type of labour","Equip Op / Equip Maintenance")</f>
        <v>1210300</v>
      </c>
      <c r="E25" s="108">
        <f t="shared" si="0"/>
        <v>0.18301769529273373</v>
      </c>
    </row>
    <row r="26" spans="2:5" ht="11.25">
      <c r="B26" s="106" t="s">
        <v>153</v>
      </c>
      <c r="C26" s="106"/>
      <c r="D26" s="107">
        <f>GETPIVOTDATA("labour cost",$B$3,"type of labour","Equip Op / Labour")</f>
        <v>291352.19</v>
      </c>
      <c r="E26" s="108">
        <f t="shared" si="0"/>
        <v>0.044057346387086395</v>
      </c>
    </row>
    <row r="27" spans="2:5" ht="11.25">
      <c r="B27" s="106" t="s">
        <v>154</v>
      </c>
      <c r="C27" s="106"/>
      <c r="D27" s="107">
        <f>GETPIVOTDATA("labour cost",$B$3,"type of labour","Equip Op / Welders / Labour")</f>
        <v>293451.33800399996</v>
      </c>
      <c r="E27" s="108">
        <f t="shared" si="0"/>
        <v>0.0443747728348848</v>
      </c>
    </row>
    <row r="28" spans="2:5" ht="11.25">
      <c r="B28" s="106" t="s">
        <v>157</v>
      </c>
      <c r="C28" s="106"/>
      <c r="D28" s="107">
        <f>GETPIVOTDATA("labour cost",$B$3,"type of labour","Labour")</f>
        <v>85162.58880000001</v>
      </c>
      <c r="E28" s="108">
        <f t="shared" si="0"/>
        <v>0.012878014316565132</v>
      </c>
    </row>
    <row r="29" spans="2:5" ht="11.25">
      <c r="B29" s="106" t="s">
        <v>151</v>
      </c>
      <c r="C29" s="106"/>
      <c r="D29" s="107">
        <f>GETPIVOTDATA("labour cost",$B$3,"type of labour","Truck Driver")</f>
        <v>273180.8943288889</v>
      </c>
      <c r="E29" s="109">
        <f t="shared" si="0"/>
        <v>0.041309541170024854</v>
      </c>
    </row>
    <row r="30" spans="2:5" ht="11.25">
      <c r="B30" s="98" t="s">
        <v>161</v>
      </c>
      <c r="C30" s="110"/>
      <c r="D30" s="111">
        <f>SUM(D21:D29)</f>
        <v>6613021.752154323</v>
      </c>
      <c r="E30" s="112">
        <f>SUM(E21:E29)</f>
        <v>0.9999999999999999</v>
      </c>
    </row>
    <row r="31" ht="11.25">
      <c r="D31" s="113"/>
    </row>
    <row r="32" ht="11.25">
      <c r="D32" s="113"/>
    </row>
    <row r="33" spans="2:5" ht="11.25">
      <c r="B33" s="98" t="s">
        <v>163</v>
      </c>
      <c r="C33" s="99"/>
      <c r="D33" s="114"/>
      <c r="E33" s="100"/>
    </row>
    <row r="34" spans="2:5" ht="11.25">
      <c r="B34" s="115" t="str">
        <f>B20</f>
        <v>type of labour</v>
      </c>
      <c r="C34" s="99"/>
      <c r="D34" s="116" t="str">
        <f>D20</f>
        <v>Total</v>
      </c>
      <c r="E34" s="117" t="s">
        <v>167</v>
      </c>
    </row>
    <row r="35" spans="2:5" ht="11.25">
      <c r="B35" s="106" t="s">
        <v>152</v>
      </c>
      <c r="C35" s="118"/>
      <c r="D35" s="107">
        <f>D24+(D25*0.6)+(D26*0.5)+(D27*0.4)</f>
        <v>2125356.2325016</v>
      </c>
      <c r="E35" s="119">
        <f aca="true" t="shared" si="1" ref="E35:E40">D35/$D$41</f>
        <v>0.3213895722948775</v>
      </c>
    </row>
    <row r="36" spans="2:5" ht="11.25">
      <c r="B36" s="106" t="s">
        <v>157</v>
      </c>
      <c r="C36" s="118"/>
      <c r="D36" s="107">
        <f>D28+(D26*0.5)+(D27*0.6)</f>
        <v>406909.48660239996</v>
      </c>
      <c r="E36" s="119">
        <f t="shared" si="1"/>
        <v>0.0615315512110392</v>
      </c>
    </row>
    <row r="37" spans="2:5" ht="11.25">
      <c r="B37" s="106" t="s">
        <v>151</v>
      </c>
      <c r="C37" s="118"/>
      <c r="D37" s="107">
        <f>D29</f>
        <v>273180.8943288889</v>
      </c>
      <c r="E37" s="119">
        <f t="shared" si="1"/>
        <v>0.04130954117002485</v>
      </c>
    </row>
    <row r="38" spans="2:5" ht="11.25">
      <c r="B38" s="106" t="s">
        <v>156</v>
      </c>
      <c r="C38" s="118"/>
      <c r="D38" s="107">
        <f>D23+(D25*0.4)</f>
        <v>1024024</v>
      </c>
      <c r="E38" s="119">
        <f t="shared" si="1"/>
        <v>0.15484963430921783</v>
      </c>
    </row>
    <row r="39" spans="2:5" ht="11.25">
      <c r="B39" s="106" t="s">
        <v>168</v>
      </c>
      <c r="C39" s="118"/>
      <c r="D39" s="107">
        <f>D21</f>
        <v>701658.6000000001</v>
      </c>
      <c r="E39" s="119">
        <f t="shared" si="1"/>
        <v>0.1061025694904785</v>
      </c>
    </row>
    <row r="40" spans="2:5" ht="11.25">
      <c r="B40" s="106" t="s">
        <v>159</v>
      </c>
      <c r="C40" s="118"/>
      <c r="D40" s="107">
        <f>D22</f>
        <v>2081892.5387214343</v>
      </c>
      <c r="E40" s="119">
        <f t="shared" si="1"/>
        <v>0.3148171315243619</v>
      </c>
    </row>
    <row r="41" spans="2:5" ht="11.25">
      <c r="B41" s="110" t="s">
        <v>162</v>
      </c>
      <c r="C41" s="120"/>
      <c r="D41" s="121">
        <f>SUM(D35:D40)</f>
        <v>6613021.752154324</v>
      </c>
      <c r="E41" s="122">
        <f>SUM(E35:E40)</f>
        <v>0.9999999999999998</v>
      </c>
    </row>
    <row r="43" ht="11.25">
      <c r="B43" s="123" t="s">
        <v>169</v>
      </c>
    </row>
  </sheetData>
  <sheetProtection/>
  <dataValidations count="1">
    <dataValidation type="list" allowBlank="1" showInputMessage="1" showErrorMessage="1" sqref="B21">
      <formula1>$B$21:$B$29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ESTIMATE</dc:subject>
  <dc:creator>Michael Baigent</dc:creator>
  <cp:keywords/>
  <dc:description/>
  <cp:lastModifiedBy>Clark, Stephen J. (Vancouver)</cp:lastModifiedBy>
  <cp:lastPrinted>2013-12-18T20:36:33Z</cp:lastPrinted>
  <dcterms:created xsi:type="dcterms:W3CDTF">1998-12-07T19:56:09Z</dcterms:created>
  <dcterms:modified xsi:type="dcterms:W3CDTF">2014-03-28T18:27:58Z</dcterms:modified>
  <cp:category/>
  <cp:version/>
  <cp:contentType/>
  <cp:contentStatus/>
</cp:coreProperties>
</file>