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Costs'!$B$3:$V$100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<sst xmlns="http://schemas.openxmlformats.org/spreadsheetml/2006/main" count="251" uniqueCount="178">
  <si>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</si>
  <si>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</si>
  <si>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</si>
  <si>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</si>
  <si>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</si>
  <si>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</si>
  <si>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</si>
  <si>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</si>
  <si>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</si>
  <si>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</si>
  <si>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</si>
  <si>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</si>
  <si>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</si>
  <si>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</si>
  <si>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</si>
  <si>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</si>
  <si>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</si>
  <si>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</si>
  <si>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</si>
  <si>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</si>
  <si>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</si>
  <si>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</si>
  <si>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</si>
  <si>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</si>
  <si>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</si>
  <si>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</si>
  <si>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</si>
  <si>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</si>
  <si>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</si>
  <si>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</si>
  <si>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</si>
  <si>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</si>
  <si>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</si>
  <si>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</si>
  <si>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</si>
  <si>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</si>
  <si>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</si>
  <si>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</si>
  <si>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</si>
  <si>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</si>
  <si>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</si>
  <si>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</si>
  <si>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</si>
  <si>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</si>
  <si>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</si>
  <si>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</si>
  <si>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</si>
  <si>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</si>
  <si>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</si>
  <si>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</si>
  <si>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</si>
  <si>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</si>
  <si>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</si>
  <si>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</si>
  <si>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</si>
  <si>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</si>
  <si>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</si>
  <si>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</si>
  <si>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</si>
  <si>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</si>
  <si>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</si>
  <si>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</si>
  <si>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</si>
  <si>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</si>
  <si>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</si>
  <si>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</si>
  <si>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</si>
  <si>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</si>
  <si>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</si>
  <si>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</si>
  <si>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</si>
  <si>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</si>
  <si>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</si>
  <si>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</si>
  <si>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</si>
  <si>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</si>
  <si>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</si>
  <si>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</si>
  <si>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</si>
  <si>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</si>
  <si>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</si>
  <si>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</si>
  <si>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</si>
  <si>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</si>
  <si>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</si>
  <si>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</si>
  <si>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</si>
  <si>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</si>
  <si>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</si>
  <si>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</si>
  <si>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</si>
  <si>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</si>
  <si>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</si>
  <si>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</si>
  <si>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6ea</t>
  </si>
  <si>
    <t>1ea on-site</t>
  </si>
  <si>
    <t>liters</t>
  </si>
  <si>
    <t>2ea/shift</t>
  </si>
  <si>
    <t>1ea/shift</t>
  </si>
  <si>
    <t>Grader &amp; dozer for winter months, 12hrs/day x 7days.</t>
  </si>
  <si>
    <t>Edm to Dawson City charter flight + DC to Site by charter bus.  1 flight/man every two weeks.</t>
  </si>
  <si>
    <t>Equip Set 1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</si>
  <si>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</si>
  <si>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</si>
  <si>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</si>
  <si>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</si>
  <si>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1ea D9 dozer , 1ea grader, 1ea 70ton excavator, 1ea wheel loader, 8ea 50ton rock truck, 1ea packer. Second Season Remob: 2ea PC2000, 5ea 777, 1ea D9.</t>
  </si>
  <si>
    <t>Bulk Earthworks</t>
  </si>
  <si>
    <t>EA</t>
  </si>
  <si>
    <t>LM</t>
  </si>
  <si>
    <t>Siphon</t>
  </si>
  <si>
    <t>Air pump</t>
  </si>
  <si>
    <t>supply</t>
  </si>
  <si>
    <t>First Location:</t>
  </si>
  <si>
    <t>Supply &amp; install.</t>
  </si>
  <si>
    <t>Lock blocks</t>
  </si>
  <si>
    <t>610mm HDPE DR21 pipe</t>
  </si>
  <si>
    <t>Supply &amp; place.</t>
  </si>
  <si>
    <t>Cut into 150m lengths, relocate 500m.</t>
  </si>
  <si>
    <t xml:space="preserve">Relocate </t>
  </si>
  <si>
    <t>Re-weld joints</t>
  </si>
  <si>
    <t>Cut &amp; move 900m of pipe</t>
  </si>
  <si>
    <t>Relocate:</t>
  </si>
  <si>
    <t>HDPE pipe &amp; lock blocks.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</si>
  <si>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</si>
  <si>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</si>
  <si>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</si>
  <si>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</si>
  <si>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</si>
  <si>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</si>
  <si>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</si>
  <si>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Shop truck</t>
  </si>
  <si>
    <t>1ea</t>
  </si>
  <si>
    <t>Temp maintenance shop</t>
  </si>
  <si>
    <t>Shop trailer</t>
  </si>
  <si>
    <t>Fuel bowser</t>
  </si>
  <si>
    <t>Pick-up trucks</t>
  </si>
  <si>
    <t>Portable light towers</t>
  </si>
  <si>
    <t xml:space="preserve"> *During Road Improvements, Quarry Development &amp; Creek Stabiliztion Work.</t>
  </si>
  <si>
    <t>Fuel truck &amp; driver</t>
  </si>
  <si>
    <t>Heavy duty mechanic</t>
  </si>
  <si>
    <t>Existing channel to porupine pit</t>
  </si>
  <si>
    <t>Waste dump to porupine pit</t>
  </si>
  <si>
    <t>Channel Armouring</t>
  </si>
  <si>
    <t>Rip-rap - 500mm dia.</t>
  </si>
  <si>
    <t>Drill &amp; blast, screen &amp; sort, load &amp; haul to site, double handling and place.</t>
  </si>
  <si>
    <t>av 50men camp x 4.5mo.</t>
  </si>
  <si>
    <t>type of labour</t>
  </si>
  <si>
    <t>% labour</t>
  </si>
  <si>
    <t>Truck Driver</t>
  </si>
  <si>
    <t>Equip Op</t>
  </si>
  <si>
    <t>Equip Op / Welders / Labour</t>
  </si>
  <si>
    <t>Equip Op / Equip Maintenance</t>
  </si>
  <si>
    <t>Equip Op / Labour</t>
  </si>
  <si>
    <t>Labour</t>
  </si>
  <si>
    <t>Equip Maintenance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</si>
  <si>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</si>
  <si>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</si>
  <si>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</si>
  <si>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</si>
  <si>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</si>
  <si>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</si>
  <si>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</si>
  <si>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</si>
  <si>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</si>
  <si>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</si>
  <si>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</si>
  <si>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</si>
  <si>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Geotextile 10oz</t>
  </si>
  <si>
    <t>Under cobble layer.</t>
  </si>
  <si>
    <t>M2</t>
  </si>
  <si>
    <t>Assessment and Abandoned Mines</t>
  </si>
  <si>
    <t>Clinton Creek Site LCCA - Option CC-E3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</si>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</sst>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right" vertical="center" wrapText="1"/>
    </xf>
    <xf numFmtId="9" fontId="0" fillId="0" borderId="0" xfId="101" applyFont="1" applyFill="1" applyAlignment="1">
      <alignment vertical="center"/>
    </xf>
    <xf numFmtId="9" fontId="0" fillId="0" borderId="0" xfId="101" applyFont="1" applyFill="1" applyAlignment="1">
      <alignment horizontal="center" vertical="center" wrapText="1"/>
    </xf>
    <xf numFmtId="9" fontId="26" fillId="0" borderId="0" xfId="101" applyFont="1" applyFill="1" applyAlignment="1">
      <alignment vertical="center" wrapText="1"/>
    </xf>
    <xf numFmtId="165" fontId="0" fillId="0" borderId="0" xfId="63" applyFont="1" applyFill="1" applyAlignment="1">
      <alignment vertical="center"/>
    </xf>
    <xf numFmtId="165" fontId="0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165" fontId="26" fillId="0" borderId="0" xfId="63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26" fillId="46" borderId="19" xfId="0" applyFont="1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20" xfId="0" applyFill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9" fontId="0" fillId="46" borderId="26" xfId="101" applyFont="1" applyFill="1" applyBorder="1" applyAlignment="1">
      <alignment horizontal="center"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165" fontId="0" fillId="0" borderId="0" xfId="63" applyFont="1" applyAlignment="1">
      <alignment/>
    </xf>
    <xf numFmtId="165" fontId="0" fillId="46" borderId="23" xfId="63" applyFont="1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495300</xdr:colOff>
      <xdr:row>2</xdr:row>
      <xdr:rowOff>95250</xdr:rowOff>
    </xdr:from>
    <xdr:to>
      <xdr:col>21</xdr:col>
      <xdr:colOff>771525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38100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6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Labour"/>
        <s v="Equip Maintenance"/>
        <s v="Camp  Op &amp; Maintenance"/>
        <s v="Engineering"/>
      </sharedItems>
    </cacheField>
    <cacheField name="% labour">
      <sharedItems containsString="0" containsBlank="1" containsMixedTypes="0" containsNumber="1" count="10">
        <m/>
        <n v="0.35"/>
        <n v="0.33"/>
        <n v="0.26"/>
        <n v="0.48"/>
        <n v="0.3"/>
        <n v="1"/>
        <n v="0.6"/>
        <n v="0.2"/>
        <n v="0.95"/>
      </sharedItems>
    </cacheField>
    <cacheField name="labour cost">
      <sharedItems containsString="0" containsBlank="1" containsMixedTypes="0" containsNumber="1" count="26">
        <m/>
        <n v="226131.36000000002"/>
        <n v="0"/>
        <n v="35276.2047"/>
        <n v="144456"/>
        <n v="67878"/>
        <n v="668527.2000000001"/>
        <n v="293451.33800399996"/>
        <n v="668850"/>
        <n v="80470.962"/>
        <n v="261810.78"/>
        <n v="277775.19"/>
        <n v="2277"/>
        <n v="9000"/>
        <n v="8640"/>
        <n v="2300"/>
        <n v="160512"/>
        <n v="218880"/>
        <n v="18127.004995555555"/>
        <n v="888767.56"/>
        <n v="10484.535600000001"/>
        <n v="134288.35199999998"/>
        <n v="29489.291999999998"/>
        <n v="148491.38692551112"/>
        <n v="296982.77385102224"/>
        <n v="1793957.79714472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7"/>
        <item sd="0" x="2"/>
        <item sd="0" x="4"/>
        <item sd="0" x="5"/>
        <item sd="0" x="3"/>
        <item sd="0" x="6"/>
        <item sd="0" x="1"/>
        <item sd="0" x="0"/>
      </items>
    </pivotField>
    <pivotField axis="axisRow" compact="0" outline="0" subtotalTop="0" showAll="0" defaultSubtotal="0">
      <items count="10">
        <item x="8"/>
        <item x="3"/>
        <item x="5"/>
        <item x="2"/>
        <item x="1"/>
        <item x="4"/>
        <item x="7"/>
        <item x="9"/>
        <item x="6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E3-04032014.xls]Summary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CC-E3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Costs'!S70,-3)</f>
        <v>13218000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Costs'!S91,-3)</f>
        <v>6585000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Costs'!S95,-3)</f>
        <v>1980000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Costs'!S96,-3)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Costs'!S97,-3)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21783000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0.2500114768397374</v>
      </c>
      <c r="E24" s="34">
        <f>ROUND('Detail Costs'!U100,-3)</f>
        <v>5446000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27229000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7"/>
  <sheetViews>
    <sheetView tabSelected="1" zoomScale="90" zoomScaleNormal="90" zoomScalePageLayoutView="0" workbookViewId="0" topLeftCell="A1">
      <selection activeCell="D107" sqref="D107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1.33203125" style="1" bestFit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7.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44" style="4" customWidth="1"/>
    <col min="25" max="25" width="9.83203125" style="1" customWidth="1"/>
    <col min="26" max="27" width="9.33203125" style="1" customWidth="1"/>
    <col min="28" max="28" width="9.33203125" style="77" customWidth="1"/>
    <col min="29" max="29" width="14" style="80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E3-04032014.xls]Detail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6"/>
      <c r="Y3" s="6"/>
    </row>
    <row r="4" spans="5:25" ht="11.25">
      <c r="E4" s="5"/>
      <c r="Q4" s="44"/>
      <c r="X4" s="76"/>
      <c r="Y4" s="32"/>
    </row>
    <row r="5" spans="2:22" ht="15.75" customHeight="1">
      <c r="B5" s="15"/>
      <c r="C5" s="18" t="s">
        <v>7</v>
      </c>
      <c r="D5" s="8" t="s">
        <v>171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172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20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102</v>
      </c>
      <c r="N10" s="22" t="s">
        <v>103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B10" s="78"/>
      <c r="AC10" s="81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82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82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82"/>
    </row>
    <row r="14" spans="1:29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27">F14*H14</f>
        <v>0</v>
      </c>
      <c r="J14" s="13">
        <f aca="true" t="shared" si="1" ref="J14:J27">I14*$L$8</f>
        <v>0</v>
      </c>
      <c r="K14" s="13"/>
      <c r="L14" s="13">
        <f aca="true" t="shared" si="2" ref="L14:L27">F14*K14</f>
        <v>0</v>
      </c>
      <c r="M14" s="13"/>
      <c r="N14" s="13">
        <f aca="true" t="shared" si="3" ref="N14:N27">F14*M14</f>
        <v>0</v>
      </c>
      <c r="O14" s="13"/>
      <c r="P14" s="13">
        <f aca="true" t="shared" si="4" ref="P14:P27">F14*O14</f>
        <v>0</v>
      </c>
      <c r="Q14" s="38"/>
      <c r="R14" s="13">
        <f aca="true" t="shared" si="5" ref="R14:R27">(J14+L14+N14+P14)*Q14</f>
        <v>0</v>
      </c>
      <c r="S14" s="13">
        <f aca="true" t="shared" si="6" ref="S14:S27">J14+L14+N14+P14+R14</f>
        <v>0</v>
      </c>
      <c r="T14" s="38"/>
      <c r="U14" s="13">
        <f aca="true" t="shared" si="7" ref="U14:U27">S14*T14</f>
        <v>0</v>
      </c>
      <c r="V14" s="13">
        <f aca="true" t="shared" si="8" ref="V14:V27">S14+U14</f>
        <v>0</v>
      </c>
      <c r="W14" s="3"/>
      <c r="X14" s="3"/>
      <c r="Y14" s="3"/>
      <c r="AB14" s="43"/>
      <c r="AC14" s="82"/>
    </row>
    <row r="15" spans="1:29" s="4" customFormat="1" ht="23.25" customHeight="1">
      <c r="A15" s="50">
        <v>1.02</v>
      </c>
      <c r="B15" s="3"/>
      <c r="C15" s="37"/>
      <c r="D15" s="59" t="s">
        <v>70</v>
      </c>
      <c r="E15" s="73" t="s">
        <v>106</v>
      </c>
      <c r="F15" s="64">
        <v>18</v>
      </c>
      <c r="G15" s="57" t="s">
        <v>108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((13*9361.68)+(7*28763.28))*2/F15</f>
        <v>35893.86666666667</v>
      </c>
      <c r="N15" s="13">
        <f t="shared" si="3"/>
        <v>646089.6000000001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646089.6000000001</v>
      </c>
      <c r="T15" s="38">
        <v>0.25</v>
      </c>
      <c r="U15" s="13">
        <f t="shared" si="7"/>
        <v>161522.40000000002</v>
      </c>
      <c r="V15" s="13">
        <f t="shared" si="8"/>
        <v>807612.0000000001</v>
      </c>
      <c r="W15" s="3"/>
      <c r="X15" s="3"/>
      <c r="Y15" s="3"/>
      <c r="AB15" s="43"/>
      <c r="AC15" s="82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2"/>
    </row>
    <row r="17" spans="1:29" s="4" customFormat="1" ht="11.25">
      <c r="A17" s="50">
        <v>1.04</v>
      </c>
      <c r="B17" s="3"/>
      <c r="C17" s="37"/>
      <c r="D17" s="59" t="s">
        <v>81</v>
      </c>
      <c r="E17" s="37" t="s">
        <v>82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82"/>
    </row>
    <row r="18" spans="1:29" s="4" customFormat="1" ht="11.25">
      <c r="A18" s="50">
        <v>1.05</v>
      </c>
      <c r="B18" s="3"/>
      <c r="C18" s="37"/>
      <c r="D18" s="56" t="s">
        <v>86</v>
      </c>
      <c r="E18" s="37" t="s">
        <v>85</v>
      </c>
      <c r="F18" s="64">
        <v>9</v>
      </c>
      <c r="G18" s="57" t="s">
        <v>83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0.25</v>
      </c>
      <c r="U18" s="13">
        <f t="shared" si="15"/>
        <v>26724.3975</v>
      </c>
      <c r="V18" s="13">
        <f t="shared" si="16"/>
        <v>133621.9875</v>
      </c>
      <c r="W18" s="3"/>
      <c r="X18" s="3"/>
      <c r="Y18" s="3"/>
      <c r="AB18" s="43"/>
      <c r="AC18" s="82"/>
    </row>
    <row r="19" spans="1:29" s="4" customFormat="1" ht="22.5">
      <c r="A19" s="50">
        <v>1.06</v>
      </c>
      <c r="B19" s="3"/>
      <c r="C19" s="37"/>
      <c r="D19" s="56" t="s">
        <v>88</v>
      </c>
      <c r="E19" s="37" t="s">
        <v>90</v>
      </c>
      <c r="F19" s="64">
        <f>4*2*15000</f>
        <v>120000</v>
      </c>
      <c r="G19" s="57" t="s">
        <v>84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0.25</v>
      </c>
      <c r="U19" s="13">
        <f t="shared" si="15"/>
        <v>138900</v>
      </c>
      <c r="V19" s="13">
        <f t="shared" si="16"/>
        <v>694500</v>
      </c>
      <c r="W19" s="3"/>
      <c r="X19" s="3"/>
      <c r="Y19" s="3"/>
      <c r="AB19" s="43"/>
      <c r="AC19" s="82"/>
    </row>
    <row r="20" spans="1:29" s="4" customFormat="1" ht="11.25">
      <c r="A20" s="50">
        <v>1.07</v>
      </c>
      <c r="B20" s="3"/>
      <c r="C20" s="37"/>
      <c r="D20" s="56" t="s">
        <v>87</v>
      </c>
      <c r="E20" s="37" t="s">
        <v>92</v>
      </c>
      <c r="F20" s="64">
        <f>5*15000*0.15</f>
        <v>11250</v>
      </c>
      <c r="G20" s="57" t="s">
        <v>84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0.25</v>
      </c>
      <c r="U20" s="13">
        <f t="shared" si="15"/>
        <v>35353.125</v>
      </c>
      <c r="V20" s="13">
        <f t="shared" si="16"/>
        <v>176765.625</v>
      </c>
      <c r="W20" s="3"/>
      <c r="X20" s="3"/>
      <c r="Y20" s="3"/>
      <c r="AB20" s="43"/>
      <c r="AC20" s="82"/>
    </row>
    <row r="21" spans="1:29" s="4" customFormat="1" ht="22.5">
      <c r="A21" s="50">
        <v>1.08</v>
      </c>
      <c r="B21" s="3"/>
      <c r="C21" s="37"/>
      <c r="D21" s="56" t="s">
        <v>91</v>
      </c>
      <c r="E21" s="37" t="s">
        <v>89</v>
      </c>
      <c r="F21" s="64">
        <f>8*15000*0.1</f>
        <v>12000</v>
      </c>
      <c r="G21" s="57" t="s">
        <v>84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37.22+79.1+39.93+12.57</f>
        <v>168.82</v>
      </c>
      <c r="N21" s="13">
        <f t="shared" si="11"/>
        <v>2025840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2025840</v>
      </c>
      <c r="T21" s="38">
        <v>0.25</v>
      </c>
      <c r="U21" s="13">
        <f t="shared" si="15"/>
        <v>506460</v>
      </c>
      <c r="V21" s="13">
        <f t="shared" si="16"/>
        <v>2532300</v>
      </c>
      <c r="W21" s="3"/>
      <c r="X21" s="3"/>
      <c r="Y21" s="3"/>
      <c r="AB21" s="43"/>
      <c r="AC21" s="82"/>
    </row>
    <row r="22" spans="1:29" s="4" customFormat="1" ht="22.5">
      <c r="A22" s="50">
        <v>1.09</v>
      </c>
      <c r="B22" s="3"/>
      <c r="C22" s="37"/>
      <c r="D22" s="56" t="s">
        <v>127</v>
      </c>
      <c r="E22" s="37" t="s">
        <v>126</v>
      </c>
      <c r="F22" s="64">
        <v>1</v>
      </c>
      <c r="G22" s="57" t="s">
        <v>67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0.25</v>
      </c>
      <c r="U22" s="13">
        <f t="shared" si="15"/>
        <v>222311.61969999998</v>
      </c>
      <c r="V22" s="13">
        <f t="shared" si="16"/>
        <v>1111558.0984999998</v>
      </c>
      <c r="W22" s="3"/>
      <c r="X22" s="3"/>
      <c r="Y22" s="3"/>
      <c r="AB22" s="43"/>
      <c r="AC22" s="82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82"/>
    </row>
    <row r="24" spans="1:29" s="4" customFormat="1" ht="11.25">
      <c r="A24" s="50">
        <v>1.11</v>
      </c>
      <c r="B24" s="3"/>
      <c r="C24" s="37"/>
      <c r="D24" s="59" t="s">
        <v>107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2"/>
    </row>
    <row r="25" spans="1:29" s="4" customFormat="1" ht="11.25">
      <c r="A25" s="50">
        <v>1.12</v>
      </c>
      <c r="B25" s="3"/>
      <c r="C25" s="37"/>
      <c r="D25" s="56" t="s">
        <v>141</v>
      </c>
      <c r="E25" s="37" t="s">
        <v>101</v>
      </c>
      <c r="F25" s="64">
        <v>525000</v>
      </c>
      <c r="G25" s="57" t="s">
        <v>84</v>
      </c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62">
        <v>4.9</v>
      </c>
      <c r="N25" s="13">
        <f t="shared" si="3"/>
        <v>2572500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2572500</v>
      </c>
      <c r="T25" s="38">
        <v>0.25</v>
      </c>
      <c r="U25" s="13">
        <f t="shared" si="7"/>
        <v>643125</v>
      </c>
      <c r="V25" s="13">
        <f t="shared" si="8"/>
        <v>3215625</v>
      </c>
      <c r="W25" s="3"/>
      <c r="X25" s="3"/>
      <c r="Y25" s="3"/>
      <c r="AB25" s="43"/>
      <c r="AC25" s="82"/>
    </row>
    <row r="26" spans="1:29" s="4" customFormat="1" ht="11.25">
      <c r="A26" s="50">
        <v>1.13</v>
      </c>
      <c r="B26" s="3"/>
      <c r="C26" s="37"/>
      <c r="D26" s="56" t="s">
        <v>142</v>
      </c>
      <c r="E26" s="37" t="s">
        <v>101</v>
      </c>
      <c r="F26" s="64">
        <v>525000</v>
      </c>
      <c r="G26" s="57" t="s">
        <v>84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2572500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2572500</v>
      </c>
      <c r="T26" s="38">
        <v>0.25</v>
      </c>
      <c r="U26" s="13">
        <f t="shared" si="7"/>
        <v>643125</v>
      </c>
      <c r="V26" s="13">
        <f t="shared" si="8"/>
        <v>3215625</v>
      </c>
      <c r="W26" s="3"/>
      <c r="X26" s="3"/>
      <c r="Y26" s="3"/>
      <c r="AB26" s="43"/>
      <c r="AC26" s="82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2"/>
    </row>
    <row r="28" spans="1:29" s="4" customFormat="1" ht="11.25">
      <c r="A28" s="50">
        <v>1.15</v>
      </c>
      <c r="B28" s="3"/>
      <c r="C28" s="37"/>
      <c r="D28" s="59" t="s">
        <v>129</v>
      </c>
      <c r="E28" s="37"/>
      <c r="F28" s="64"/>
      <c r="G28" s="57"/>
      <c r="H28" s="13"/>
      <c r="I28" s="13">
        <f aca="true" t="shared" si="17" ref="I28:I34">F28*H28</f>
        <v>0</v>
      </c>
      <c r="J28" s="13">
        <f aca="true" t="shared" si="18" ref="J28:J43">I28*$L$8</f>
        <v>0</v>
      </c>
      <c r="K28" s="13"/>
      <c r="L28" s="13">
        <f aca="true" t="shared" si="19" ref="L28:L34">F28*K28</f>
        <v>0</v>
      </c>
      <c r="M28" s="13"/>
      <c r="N28" s="13">
        <f aca="true" t="shared" si="20" ref="N28:N34">F28*M28</f>
        <v>0</v>
      </c>
      <c r="O28" s="13"/>
      <c r="P28" s="13">
        <f aca="true" t="shared" si="21" ref="P28:P34">F28*O28</f>
        <v>0</v>
      </c>
      <c r="Q28" s="38"/>
      <c r="R28" s="13">
        <f aca="true" t="shared" si="22" ref="R28:R34">(J28+L28+N28+P28)*Q28</f>
        <v>0</v>
      </c>
      <c r="S28" s="13">
        <f aca="true" t="shared" si="23" ref="S28:S34">J28+L28+N28+P28+R28</f>
        <v>0</v>
      </c>
      <c r="T28" s="38"/>
      <c r="U28" s="13">
        <f aca="true" t="shared" si="24" ref="U28:U34">S28*T28</f>
        <v>0</v>
      </c>
      <c r="V28" s="13">
        <f aca="true" t="shared" si="25" ref="V28:V34">S28+U28</f>
        <v>0</v>
      </c>
      <c r="W28" s="3"/>
      <c r="X28" s="3"/>
      <c r="Y28" s="3"/>
      <c r="AB28" s="43"/>
      <c r="AC28" s="82"/>
    </row>
    <row r="29" spans="1:29" s="4" customFormat="1" ht="22.5">
      <c r="A29" s="50">
        <v>1.16</v>
      </c>
      <c r="B29" s="3"/>
      <c r="C29" s="37"/>
      <c r="D29" s="56" t="s">
        <v>130</v>
      </c>
      <c r="E29" s="37" t="s">
        <v>89</v>
      </c>
      <c r="F29" s="64">
        <v>1530</v>
      </c>
      <c r="G29" s="57" t="s">
        <v>84</v>
      </c>
      <c r="H29" s="13"/>
      <c r="I29" s="13">
        <f t="shared" si="17"/>
        <v>0</v>
      </c>
      <c r="J29" s="13">
        <f t="shared" si="18"/>
        <v>0</v>
      </c>
      <c r="K29" s="13"/>
      <c r="L29" s="13">
        <f t="shared" si="19"/>
        <v>0</v>
      </c>
      <c r="M29" s="62">
        <f>37.22+69.66+39.93+12.57</f>
        <v>159.38</v>
      </c>
      <c r="N29" s="13">
        <f t="shared" si="20"/>
        <v>243851.4</v>
      </c>
      <c r="O29" s="13"/>
      <c r="P29" s="13">
        <f t="shared" si="21"/>
        <v>0</v>
      </c>
      <c r="Q29" s="38"/>
      <c r="R29" s="13">
        <f t="shared" si="22"/>
        <v>0</v>
      </c>
      <c r="S29" s="13">
        <f t="shared" si="23"/>
        <v>243851.4</v>
      </c>
      <c r="T29" s="38">
        <v>0.25</v>
      </c>
      <c r="U29" s="13">
        <f t="shared" si="24"/>
        <v>60962.85</v>
      </c>
      <c r="V29" s="13">
        <f t="shared" si="25"/>
        <v>304814.25</v>
      </c>
      <c r="W29" s="3"/>
      <c r="X29" s="3"/>
      <c r="Y29" s="3"/>
      <c r="AB29" s="43"/>
      <c r="AC29" s="82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 t="shared" si="17"/>
        <v>0</v>
      </c>
      <c r="J30" s="13">
        <f t="shared" si="18"/>
        <v>0</v>
      </c>
      <c r="K30" s="13"/>
      <c r="L30" s="13">
        <f t="shared" si="19"/>
        <v>0</v>
      </c>
      <c r="M30" s="13"/>
      <c r="N30" s="13">
        <f t="shared" si="20"/>
        <v>0</v>
      </c>
      <c r="O30" s="13"/>
      <c r="P30" s="13">
        <f t="shared" si="21"/>
        <v>0</v>
      </c>
      <c r="Q30" s="38"/>
      <c r="R30" s="13">
        <f t="shared" si="22"/>
        <v>0</v>
      </c>
      <c r="S30" s="13">
        <f t="shared" si="23"/>
        <v>0</v>
      </c>
      <c r="T30" s="38"/>
      <c r="U30" s="13">
        <f t="shared" si="24"/>
        <v>0</v>
      </c>
      <c r="V30" s="13">
        <f t="shared" si="25"/>
        <v>0</v>
      </c>
      <c r="W30" s="3"/>
      <c r="X30" s="3"/>
      <c r="Y30" s="3"/>
      <c r="AB30" s="43"/>
      <c r="AC30" s="82"/>
    </row>
    <row r="31" spans="1:29" s="4" customFormat="1" ht="11.25">
      <c r="A31" s="50">
        <v>1.18</v>
      </c>
      <c r="B31" s="3"/>
      <c r="C31" s="37"/>
      <c r="D31" s="59" t="s">
        <v>143</v>
      </c>
      <c r="E31" s="37"/>
      <c r="F31" s="64"/>
      <c r="G31" s="57"/>
      <c r="H31" s="13"/>
      <c r="I31" s="13">
        <f t="shared" si="17"/>
        <v>0</v>
      </c>
      <c r="J31" s="13">
        <f t="shared" si="18"/>
        <v>0</v>
      </c>
      <c r="K31" s="13"/>
      <c r="L31" s="13">
        <f t="shared" si="19"/>
        <v>0</v>
      </c>
      <c r="M31" s="13"/>
      <c r="N31" s="13">
        <f t="shared" si="20"/>
        <v>0</v>
      </c>
      <c r="O31" s="13"/>
      <c r="P31" s="13">
        <f t="shared" si="21"/>
        <v>0</v>
      </c>
      <c r="Q31" s="38"/>
      <c r="R31" s="13">
        <f t="shared" si="22"/>
        <v>0</v>
      </c>
      <c r="S31" s="13">
        <f t="shared" si="23"/>
        <v>0</v>
      </c>
      <c r="T31" s="38"/>
      <c r="U31" s="13">
        <f t="shared" si="24"/>
        <v>0</v>
      </c>
      <c r="V31" s="13">
        <f t="shared" si="25"/>
        <v>0</v>
      </c>
      <c r="W31" s="3"/>
      <c r="X31" s="3"/>
      <c r="Y31" s="3"/>
      <c r="AB31" s="43"/>
      <c r="AC31" s="82"/>
    </row>
    <row r="32" spans="1:29" s="4" customFormat="1" ht="33.75">
      <c r="A32" s="50">
        <v>1.19</v>
      </c>
      <c r="B32" s="3"/>
      <c r="C32" s="37"/>
      <c r="D32" s="56" t="s">
        <v>144</v>
      </c>
      <c r="E32" s="37" t="s">
        <v>145</v>
      </c>
      <c r="F32" s="64">
        <v>6100</v>
      </c>
      <c r="G32" s="57" t="s">
        <v>84</v>
      </c>
      <c r="H32" s="13"/>
      <c r="I32" s="13">
        <f t="shared" si="17"/>
        <v>0</v>
      </c>
      <c r="J32" s="13">
        <f t="shared" si="18"/>
        <v>0</v>
      </c>
      <c r="K32" s="13"/>
      <c r="L32" s="13">
        <f t="shared" si="19"/>
        <v>0</v>
      </c>
      <c r="M32" s="62">
        <f>10.04+64.41+39.93+5.51+10.17</f>
        <v>130.06</v>
      </c>
      <c r="N32" s="13">
        <f t="shared" si="20"/>
        <v>793366</v>
      </c>
      <c r="O32" s="13"/>
      <c r="P32" s="13">
        <f t="shared" si="21"/>
        <v>0</v>
      </c>
      <c r="Q32" s="38"/>
      <c r="R32" s="13">
        <f t="shared" si="22"/>
        <v>0</v>
      </c>
      <c r="S32" s="13">
        <f t="shared" si="23"/>
        <v>793366</v>
      </c>
      <c r="T32" s="38">
        <v>0.25</v>
      </c>
      <c r="U32" s="13">
        <f t="shared" si="24"/>
        <v>198341.5</v>
      </c>
      <c r="V32" s="13">
        <f t="shared" si="25"/>
        <v>991707.5</v>
      </c>
      <c r="W32" s="3"/>
      <c r="X32" s="3"/>
      <c r="Y32" s="3"/>
      <c r="AB32" s="43"/>
      <c r="AC32" s="82"/>
    </row>
    <row r="33" spans="1:25" s="4" customFormat="1" ht="11.25">
      <c r="A33" s="50">
        <v>1.2</v>
      </c>
      <c r="B33" s="3"/>
      <c r="C33" s="37"/>
      <c r="D33" s="56" t="s">
        <v>168</v>
      </c>
      <c r="E33" s="37" t="s">
        <v>169</v>
      </c>
      <c r="F33" s="64">
        <v>9700</v>
      </c>
      <c r="G33" s="57" t="s">
        <v>170</v>
      </c>
      <c r="H33" s="13"/>
      <c r="I33" s="13">
        <f t="shared" si="17"/>
        <v>0</v>
      </c>
      <c r="J33" s="13">
        <f t="shared" si="18"/>
        <v>0</v>
      </c>
      <c r="K33" s="13"/>
      <c r="L33" s="13">
        <f t="shared" si="19"/>
        <v>0</v>
      </c>
      <c r="M33" s="119">
        <v>3.62</v>
      </c>
      <c r="N33" s="13">
        <f t="shared" si="20"/>
        <v>35114</v>
      </c>
      <c r="O33" s="13"/>
      <c r="P33" s="13">
        <f t="shared" si="21"/>
        <v>0</v>
      </c>
      <c r="Q33" s="38"/>
      <c r="R33" s="13">
        <f t="shared" si="22"/>
        <v>0</v>
      </c>
      <c r="S33" s="13">
        <f t="shared" si="23"/>
        <v>35114</v>
      </c>
      <c r="T33" s="38">
        <v>0.25</v>
      </c>
      <c r="U33" s="13">
        <f t="shared" si="24"/>
        <v>8778.5</v>
      </c>
      <c r="V33" s="13">
        <f t="shared" si="25"/>
        <v>43892.5</v>
      </c>
      <c r="W33" s="3"/>
      <c r="X33" s="58"/>
      <c r="Y33" s="3"/>
    </row>
    <row r="34" spans="1:29" s="4" customFormat="1" ht="11.25">
      <c r="A34" s="50">
        <v>1.21</v>
      </c>
      <c r="B34" s="3"/>
      <c r="C34" s="37"/>
      <c r="D34" s="56"/>
      <c r="E34" s="37"/>
      <c r="F34" s="64"/>
      <c r="G34" s="57"/>
      <c r="H34" s="13"/>
      <c r="I34" s="13">
        <f t="shared" si="17"/>
        <v>0</v>
      </c>
      <c r="J34" s="13">
        <f t="shared" si="18"/>
        <v>0</v>
      </c>
      <c r="K34" s="13"/>
      <c r="L34" s="13">
        <f t="shared" si="19"/>
        <v>0</v>
      </c>
      <c r="M34" s="13"/>
      <c r="N34" s="13">
        <f t="shared" si="20"/>
        <v>0</v>
      </c>
      <c r="O34" s="13"/>
      <c r="P34" s="13">
        <f t="shared" si="21"/>
        <v>0</v>
      </c>
      <c r="Q34" s="38"/>
      <c r="R34" s="13">
        <f t="shared" si="22"/>
        <v>0</v>
      </c>
      <c r="S34" s="13">
        <f t="shared" si="23"/>
        <v>0</v>
      </c>
      <c r="T34" s="38"/>
      <c r="U34" s="13">
        <f t="shared" si="24"/>
        <v>0</v>
      </c>
      <c r="V34" s="13">
        <f t="shared" si="25"/>
        <v>0</v>
      </c>
      <c r="W34" s="3"/>
      <c r="X34" s="3"/>
      <c r="Y34" s="3"/>
      <c r="AB34" s="43"/>
      <c r="AC34" s="82"/>
    </row>
    <row r="35" spans="1:29" s="4" customFormat="1" ht="11.25">
      <c r="A35" s="50">
        <v>1.22</v>
      </c>
      <c r="B35" s="3"/>
      <c r="C35" s="37"/>
      <c r="D35" s="59" t="s">
        <v>110</v>
      </c>
      <c r="E35" s="37"/>
      <c r="F35" s="64"/>
      <c r="G35" s="57"/>
      <c r="H35" s="13"/>
      <c r="I35" s="13">
        <f aca="true" t="shared" si="26" ref="I35:I44">F35*H35</f>
        <v>0</v>
      </c>
      <c r="J35" s="13">
        <f t="shared" si="18"/>
        <v>0</v>
      </c>
      <c r="K35" s="13"/>
      <c r="L35" s="13">
        <f aca="true" t="shared" si="27" ref="L35:L44">F35*K35</f>
        <v>0</v>
      </c>
      <c r="M35" s="13"/>
      <c r="N35" s="13">
        <f aca="true" t="shared" si="28" ref="N35:N44">F35*M35</f>
        <v>0</v>
      </c>
      <c r="O35" s="13"/>
      <c r="P35" s="13">
        <f aca="true" t="shared" si="29" ref="P35:P44">F35*O35</f>
        <v>0</v>
      </c>
      <c r="Q35" s="38"/>
      <c r="R35" s="13">
        <f aca="true" t="shared" si="30" ref="R35:R44">(J35+L35+N35+P35)*Q35</f>
        <v>0</v>
      </c>
      <c r="S35" s="13">
        <f aca="true" t="shared" si="31" ref="S35:S44">J35+L35+N35+P35+R35</f>
        <v>0</v>
      </c>
      <c r="T35" s="38"/>
      <c r="U35" s="13">
        <f aca="true" t="shared" si="32" ref="U35:U44">S35*T35</f>
        <v>0</v>
      </c>
      <c r="V35" s="13">
        <f aca="true" t="shared" si="33" ref="V35:V44">S35+U35</f>
        <v>0</v>
      </c>
      <c r="W35" s="3"/>
      <c r="X35" s="3"/>
      <c r="Y35" s="3"/>
      <c r="AB35" s="43"/>
      <c r="AC35" s="82"/>
    </row>
    <row r="36" spans="1:29" s="4" customFormat="1" ht="11.25">
      <c r="A36" s="50">
        <v>1.23</v>
      </c>
      <c r="B36" s="3"/>
      <c r="C36" s="37"/>
      <c r="D36" s="56" t="s">
        <v>111</v>
      </c>
      <c r="E36" s="37" t="s">
        <v>112</v>
      </c>
      <c r="F36" s="64">
        <v>1</v>
      </c>
      <c r="G36" s="57" t="s">
        <v>108</v>
      </c>
      <c r="H36" s="13"/>
      <c r="I36" s="13">
        <f t="shared" si="26"/>
        <v>0</v>
      </c>
      <c r="J36" s="13">
        <f t="shared" si="18"/>
        <v>0</v>
      </c>
      <c r="K36" s="13"/>
      <c r="L36" s="13">
        <f t="shared" si="27"/>
        <v>0</v>
      </c>
      <c r="M36" s="62">
        <v>20000</v>
      </c>
      <c r="N36" s="13">
        <f t="shared" si="28"/>
        <v>20000</v>
      </c>
      <c r="O36" s="13"/>
      <c r="P36" s="13">
        <f t="shared" si="29"/>
        <v>0</v>
      </c>
      <c r="Q36" s="38"/>
      <c r="R36" s="13">
        <f t="shared" si="30"/>
        <v>0</v>
      </c>
      <c r="S36" s="13">
        <f t="shared" si="31"/>
        <v>20000</v>
      </c>
      <c r="T36" s="38">
        <v>0.25</v>
      </c>
      <c r="U36" s="13">
        <f t="shared" si="32"/>
        <v>5000</v>
      </c>
      <c r="V36" s="13">
        <f t="shared" si="33"/>
        <v>25000</v>
      </c>
      <c r="W36" s="3"/>
      <c r="X36" s="3"/>
      <c r="Y36" s="3"/>
      <c r="AB36" s="43"/>
      <c r="AC36" s="82"/>
    </row>
    <row r="37" spans="1:29" s="4" customFormat="1" ht="11.25">
      <c r="A37" s="50">
        <v>1.24</v>
      </c>
      <c r="B37" s="3"/>
      <c r="C37" s="37"/>
      <c r="D37" s="56" t="s">
        <v>113</v>
      </c>
      <c r="E37" s="37"/>
      <c r="F37" s="64"/>
      <c r="G37" s="57"/>
      <c r="H37" s="13"/>
      <c r="I37" s="13">
        <f t="shared" si="26"/>
        <v>0</v>
      </c>
      <c r="J37" s="13">
        <f t="shared" si="18"/>
        <v>0</v>
      </c>
      <c r="K37" s="13"/>
      <c r="L37" s="13">
        <f t="shared" si="27"/>
        <v>0</v>
      </c>
      <c r="M37" s="13"/>
      <c r="N37" s="13">
        <f t="shared" si="28"/>
        <v>0</v>
      </c>
      <c r="O37" s="13"/>
      <c r="P37" s="13">
        <f t="shared" si="29"/>
        <v>0</v>
      </c>
      <c r="Q37" s="38"/>
      <c r="R37" s="13">
        <f t="shared" si="30"/>
        <v>0</v>
      </c>
      <c r="S37" s="13">
        <f t="shared" si="31"/>
        <v>0</v>
      </c>
      <c r="T37" s="38"/>
      <c r="U37" s="13">
        <f t="shared" si="32"/>
        <v>0</v>
      </c>
      <c r="V37" s="13">
        <f t="shared" si="33"/>
        <v>0</v>
      </c>
      <c r="W37" s="3"/>
      <c r="X37" s="3"/>
      <c r="Y37" s="3"/>
      <c r="AB37" s="43"/>
      <c r="AC37" s="82"/>
    </row>
    <row r="38" spans="1:29" s="4" customFormat="1" ht="11.25">
      <c r="A38" s="50">
        <v>1.25</v>
      </c>
      <c r="B38" s="3"/>
      <c r="C38" s="37"/>
      <c r="D38" s="67" t="s">
        <v>116</v>
      </c>
      <c r="E38" s="37" t="s">
        <v>114</v>
      </c>
      <c r="F38" s="64">
        <v>900</v>
      </c>
      <c r="G38" s="57" t="s">
        <v>109</v>
      </c>
      <c r="H38" s="65"/>
      <c r="I38" s="13">
        <f t="shared" si="26"/>
        <v>0</v>
      </c>
      <c r="J38" s="13">
        <f t="shared" si="18"/>
        <v>0</v>
      </c>
      <c r="K38" s="65"/>
      <c r="L38" s="13">
        <f t="shared" si="27"/>
        <v>0</v>
      </c>
      <c r="M38" s="65">
        <f>(7.31*100)+204.27</f>
        <v>935.27</v>
      </c>
      <c r="N38" s="13">
        <f t="shared" si="28"/>
        <v>841743</v>
      </c>
      <c r="O38" s="13"/>
      <c r="P38" s="13">
        <f t="shared" si="29"/>
        <v>0</v>
      </c>
      <c r="Q38" s="38"/>
      <c r="R38" s="13">
        <f t="shared" si="30"/>
        <v>0</v>
      </c>
      <c r="S38" s="13">
        <f t="shared" si="31"/>
        <v>841743</v>
      </c>
      <c r="T38" s="38">
        <v>0.25</v>
      </c>
      <c r="U38" s="13">
        <f t="shared" si="32"/>
        <v>210435.75</v>
      </c>
      <c r="V38" s="13">
        <f t="shared" si="33"/>
        <v>1052178.75</v>
      </c>
      <c r="W38" s="3"/>
      <c r="X38" s="3"/>
      <c r="Y38" s="3"/>
      <c r="AB38" s="43"/>
      <c r="AC38" s="82"/>
    </row>
    <row r="39" spans="1:29" s="4" customFormat="1" ht="11.25">
      <c r="A39" s="50">
        <v>1.26</v>
      </c>
      <c r="B39" s="3"/>
      <c r="C39" s="37"/>
      <c r="D39" s="67" t="s">
        <v>115</v>
      </c>
      <c r="E39" s="37" t="s">
        <v>117</v>
      </c>
      <c r="F39" s="64">
        <v>46</v>
      </c>
      <c r="G39" s="57" t="s">
        <v>108</v>
      </c>
      <c r="H39" s="13"/>
      <c r="I39" s="13">
        <f t="shared" si="26"/>
        <v>0</v>
      </c>
      <c r="J39" s="13">
        <f>I39*$L$8</f>
        <v>0</v>
      </c>
      <c r="K39" s="13"/>
      <c r="L39" s="13">
        <f t="shared" si="27"/>
        <v>0</v>
      </c>
      <c r="M39" s="62">
        <v>150</v>
      </c>
      <c r="N39" s="13">
        <f t="shared" si="28"/>
        <v>6900</v>
      </c>
      <c r="O39" s="13"/>
      <c r="P39" s="13">
        <f t="shared" si="29"/>
        <v>0</v>
      </c>
      <c r="Q39" s="38"/>
      <c r="R39" s="13">
        <f t="shared" si="30"/>
        <v>0</v>
      </c>
      <c r="S39" s="13">
        <f t="shared" si="31"/>
        <v>6900</v>
      </c>
      <c r="T39" s="38">
        <v>0.25</v>
      </c>
      <c r="U39" s="13">
        <f t="shared" si="32"/>
        <v>1725</v>
      </c>
      <c r="V39" s="13">
        <f t="shared" si="33"/>
        <v>8625</v>
      </c>
      <c r="W39" s="3"/>
      <c r="X39" s="3"/>
      <c r="Y39" s="3"/>
      <c r="AB39" s="43"/>
      <c r="AC39" s="82"/>
    </row>
    <row r="40" spans="1:29" s="4" customFormat="1" ht="11.25">
      <c r="A40" s="50">
        <v>1.27</v>
      </c>
      <c r="B40" s="3"/>
      <c r="C40" s="37"/>
      <c r="D40" s="56"/>
      <c r="E40" s="37"/>
      <c r="F40" s="64"/>
      <c r="G40" s="57"/>
      <c r="H40" s="13"/>
      <c r="I40" s="13">
        <f t="shared" si="26"/>
        <v>0</v>
      </c>
      <c r="J40" s="13">
        <f>I40*$L$8</f>
        <v>0</v>
      </c>
      <c r="K40" s="13"/>
      <c r="L40" s="13">
        <f t="shared" si="27"/>
        <v>0</v>
      </c>
      <c r="M40" s="13"/>
      <c r="N40" s="13">
        <f t="shared" si="28"/>
        <v>0</v>
      </c>
      <c r="O40" s="13"/>
      <c r="P40" s="13">
        <f t="shared" si="29"/>
        <v>0</v>
      </c>
      <c r="Q40" s="38"/>
      <c r="R40" s="13">
        <f t="shared" si="30"/>
        <v>0</v>
      </c>
      <c r="S40" s="13">
        <f t="shared" si="31"/>
        <v>0</v>
      </c>
      <c r="T40" s="38"/>
      <c r="U40" s="13">
        <f t="shared" si="32"/>
        <v>0</v>
      </c>
      <c r="V40" s="13">
        <f t="shared" si="33"/>
        <v>0</v>
      </c>
      <c r="W40" s="3"/>
      <c r="X40" s="3"/>
      <c r="Y40" s="3"/>
      <c r="AB40" s="43"/>
      <c r="AC40" s="82"/>
    </row>
    <row r="41" spans="1:29" s="4" customFormat="1" ht="11.25">
      <c r="A41" s="50">
        <v>1.28</v>
      </c>
      <c r="B41" s="3"/>
      <c r="C41" s="37"/>
      <c r="D41" s="56" t="s">
        <v>122</v>
      </c>
      <c r="E41" s="37"/>
      <c r="F41" s="64"/>
      <c r="G41" s="57"/>
      <c r="H41" s="13"/>
      <c r="I41" s="13">
        <f t="shared" si="26"/>
        <v>0</v>
      </c>
      <c r="J41" s="13">
        <f t="shared" si="18"/>
        <v>0</v>
      </c>
      <c r="K41" s="13"/>
      <c r="L41" s="13">
        <f t="shared" si="27"/>
        <v>0</v>
      </c>
      <c r="M41" s="13"/>
      <c r="N41" s="13">
        <f t="shared" si="28"/>
        <v>0</v>
      </c>
      <c r="O41" s="13"/>
      <c r="P41" s="13">
        <f t="shared" si="29"/>
        <v>0</v>
      </c>
      <c r="Q41" s="38"/>
      <c r="R41" s="13">
        <f t="shared" si="30"/>
        <v>0</v>
      </c>
      <c r="S41" s="13">
        <f t="shared" si="31"/>
        <v>0</v>
      </c>
      <c r="T41" s="38"/>
      <c r="U41" s="13">
        <f t="shared" si="32"/>
        <v>0</v>
      </c>
      <c r="V41" s="13">
        <f t="shared" si="33"/>
        <v>0</v>
      </c>
      <c r="W41" s="3"/>
      <c r="X41" s="3"/>
      <c r="Y41" s="3"/>
      <c r="AB41" s="43"/>
      <c r="AC41" s="82"/>
    </row>
    <row r="42" spans="1:29" s="4" customFormat="1" ht="22.5">
      <c r="A42" s="50">
        <v>1.29</v>
      </c>
      <c r="B42" s="3"/>
      <c r="C42" s="37"/>
      <c r="D42" s="67" t="s">
        <v>121</v>
      </c>
      <c r="E42" s="37" t="s">
        <v>118</v>
      </c>
      <c r="F42" s="64">
        <v>6</v>
      </c>
      <c r="G42" s="57" t="s">
        <v>108</v>
      </c>
      <c r="H42" s="13"/>
      <c r="I42" s="13">
        <f t="shared" si="26"/>
        <v>0</v>
      </c>
      <c r="J42" s="13">
        <f>I42*$L$8</f>
        <v>0</v>
      </c>
      <c r="K42" s="13"/>
      <c r="L42" s="13">
        <f t="shared" si="27"/>
        <v>0</v>
      </c>
      <c r="M42" s="65">
        <v>5000</v>
      </c>
      <c r="N42" s="13">
        <f t="shared" si="28"/>
        <v>30000</v>
      </c>
      <c r="O42" s="13"/>
      <c r="P42" s="13">
        <f t="shared" si="29"/>
        <v>0</v>
      </c>
      <c r="Q42" s="38"/>
      <c r="R42" s="13">
        <f t="shared" si="30"/>
        <v>0</v>
      </c>
      <c r="S42" s="13">
        <f t="shared" si="31"/>
        <v>30000</v>
      </c>
      <c r="T42" s="38">
        <v>0.25</v>
      </c>
      <c r="U42" s="13">
        <f t="shared" si="32"/>
        <v>7500</v>
      </c>
      <c r="V42" s="13">
        <f t="shared" si="33"/>
        <v>37500</v>
      </c>
      <c r="W42" s="3"/>
      <c r="X42" s="3"/>
      <c r="Y42" s="3"/>
      <c r="AB42" s="43"/>
      <c r="AC42" s="82"/>
    </row>
    <row r="43" spans="1:29" s="4" customFormat="1" ht="11.25">
      <c r="A43" s="50">
        <v>1.3</v>
      </c>
      <c r="B43" s="3"/>
      <c r="C43" s="37"/>
      <c r="D43" s="67" t="s">
        <v>116</v>
      </c>
      <c r="E43" s="37" t="s">
        <v>120</v>
      </c>
      <c r="F43" s="64">
        <v>6</v>
      </c>
      <c r="G43" s="57" t="s">
        <v>108</v>
      </c>
      <c r="H43" s="65"/>
      <c r="I43" s="13">
        <f t="shared" si="26"/>
        <v>0</v>
      </c>
      <c r="J43" s="13">
        <f t="shared" si="18"/>
        <v>0</v>
      </c>
      <c r="K43" s="65"/>
      <c r="L43" s="13">
        <f t="shared" si="27"/>
        <v>0</v>
      </c>
      <c r="M43" s="65">
        <f>(14.4*100)</f>
        <v>1440</v>
      </c>
      <c r="N43" s="13">
        <f t="shared" si="28"/>
        <v>8640</v>
      </c>
      <c r="O43" s="13"/>
      <c r="P43" s="13">
        <f t="shared" si="29"/>
        <v>0</v>
      </c>
      <c r="Q43" s="38"/>
      <c r="R43" s="13">
        <f t="shared" si="30"/>
        <v>0</v>
      </c>
      <c r="S43" s="13">
        <f t="shared" si="31"/>
        <v>8640</v>
      </c>
      <c r="T43" s="38">
        <v>0.25</v>
      </c>
      <c r="U43" s="13">
        <f t="shared" si="32"/>
        <v>2160</v>
      </c>
      <c r="V43" s="13">
        <f t="shared" si="33"/>
        <v>10800</v>
      </c>
      <c r="W43" s="3"/>
      <c r="X43" s="3"/>
      <c r="Y43" s="3"/>
      <c r="AB43" s="43"/>
      <c r="AC43" s="82"/>
    </row>
    <row r="44" spans="1:29" s="4" customFormat="1" ht="11.25">
      <c r="A44" s="50">
        <v>1.31</v>
      </c>
      <c r="B44" s="3"/>
      <c r="C44" s="37"/>
      <c r="D44" s="67" t="s">
        <v>115</v>
      </c>
      <c r="E44" s="37" t="s">
        <v>119</v>
      </c>
      <c r="F44" s="64">
        <v>46</v>
      </c>
      <c r="G44" s="57" t="s">
        <v>108</v>
      </c>
      <c r="H44" s="13"/>
      <c r="I44" s="13">
        <f t="shared" si="26"/>
        <v>0</v>
      </c>
      <c r="J44" s="13">
        <f>I44*$L$8</f>
        <v>0</v>
      </c>
      <c r="K44" s="13"/>
      <c r="L44" s="13">
        <f t="shared" si="27"/>
        <v>0</v>
      </c>
      <c r="M44" s="62">
        <v>50</v>
      </c>
      <c r="N44" s="13">
        <f t="shared" si="28"/>
        <v>2300</v>
      </c>
      <c r="O44" s="13"/>
      <c r="P44" s="13">
        <f t="shared" si="29"/>
        <v>0</v>
      </c>
      <c r="Q44" s="38"/>
      <c r="R44" s="13">
        <f t="shared" si="30"/>
        <v>0</v>
      </c>
      <c r="S44" s="13">
        <f t="shared" si="31"/>
        <v>2300</v>
      </c>
      <c r="T44" s="38">
        <v>0.25</v>
      </c>
      <c r="U44" s="13">
        <f t="shared" si="32"/>
        <v>575</v>
      </c>
      <c r="V44" s="13">
        <f t="shared" si="33"/>
        <v>2875</v>
      </c>
      <c r="W44" s="3"/>
      <c r="X44" s="3"/>
      <c r="Y44" s="3"/>
      <c r="AB44" s="43"/>
      <c r="AC44" s="82"/>
    </row>
    <row r="45" spans="1:29" s="4" customFormat="1" ht="11.25">
      <c r="A45" s="50">
        <v>1.32</v>
      </c>
      <c r="B45" s="3"/>
      <c r="C45" s="37"/>
      <c r="D45" s="56"/>
      <c r="E45" s="37"/>
      <c r="F45" s="64"/>
      <c r="G45" s="57"/>
      <c r="H45" s="13"/>
      <c r="I45" s="13">
        <f>F45*H45</f>
        <v>0</v>
      </c>
      <c r="J45" s="13">
        <f>I45*$L$8</f>
        <v>0</v>
      </c>
      <c r="K45" s="13"/>
      <c r="L45" s="13">
        <f>F45*K45</f>
        <v>0</v>
      </c>
      <c r="M45" s="13"/>
      <c r="N45" s="13">
        <f>F45*M45</f>
        <v>0</v>
      </c>
      <c r="O45" s="13"/>
      <c r="P45" s="13">
        <f>F45*O45</f>
        <v>0</v>
      </c>
      <c r="Q45" s="38"/>
      <c r="R45" s="13">
        <f>(J45+L45+N45+P45)*Q45</f>
        <v>0</v>
      </c>
      <c r="S45" s="13">
        <f>J45+L45+N45+P45+R45</f>
        <v>0</v>
      </c>
      <c r="T45" s="38"/>
      <c r="U45" s="13">
        <f>S45*T45</f>
        <v>0</v>
      </c>
      <c r="V45" s="13">
        <f>S45+U45</f>
        <v>0</v>
      </c>
      <c r="W45" s="3"/>
      <c r="X45" s="3"/>
      <c r="Y45" s="3"/>
      <c r="AB45" s="43"/>
      <c r="AC45" s="82"/>
    </row>
    <row r="46" spans="1:29" s="4" customFormat="1" ht="11.25">
      <c r="A46" s="50">
        <v>1.33</v>
      </c>
      <c r="B46" s="3"/>
      <c r="C46" s="37"/>
      <c r="D46" s="59" t="s">
        <v>71</v>
      </c>
      <c r="E46" s="37"/>
      <c r="F46" s="64"/>
      <c r="G46" s="57"/>
      <c r="H46" s="13"/>
      <c r="I46" s="13">
        <f aca="true" t="shared" si="34" ref="I46:I69">F46*H46</f>
        <v>0</v>
      </c>
      <c r="J46" s="13">
        <f>I46*$L$8</f>
        <v>0</v>
      </c>
      <c r="K46" s="13"/>
      <c r="L46" s="13">
        <f aca="true" t="shared" si="35" ref="L46:L69">F46*K46</f>
        <v>0</v>
      </c>
      <c r="M46" s="13"/>
      <c r="N46" s="13">
        <f aca="true" t="shared" si="36" ref="N46:N69">F46*M46</f>
        <v>0</v>
      </c>
      <c r="O46" s="13"/>
      <c r="P46" s="13">
        <f aca="true" t="shared" si="37" ref="P46:P69">F46*O46</f>
        <v>0</v>
      </c>
      <c r="Q46" s="38"/>
      <c r="R46" s="13">
        <f aca="true" t="shared" si="38" ref="R46:R69">(J46+L46+N46+P46)*Q46</f>
        <v>0</v>
      </c>
      <c r="S46" s="13">
        <f aca="true" t="shared" si="39" ref="S46:S69">J46+L46+N46+P46+R46</f>
        <v>0</v>
      </c>
      <c r="T46" s="38"/>
      <c r="U46" s="13">
        <f aca="true" t="shared" si="40" ref="U46:U69">S46*T46</f>
        <v>0</v>
      </c>
      <c r="V46" s="13">
        <f aca="true" t="shared" si="41" ref="V46:V69">S46+U46</f>
        <v>0</v>
      </c>
      <c r="W46" s="3"/>
      <c r="X46" s="3"/>
      <c r="Y46" s="3"/>
      <c r="AB46" s="43"/>
      <c r="AC46" s="82"/>
    </row>
    <row r="47" spans="1:29" s="4" customFormat="1" ht="11.25">
      <c r="A47" s="50">
        <v>1.34</v>
      </c>
      <c r="B47" s="3"/>
      <c r="C47" s="37"/>
      <c r="D47" s="56" t="s">
        <v>131</v>
      </c>
      <c r="E47" s="37" t="s">
        <v>132</v>
      </c>
      <c r="F47" s="64">
        <f>4.5*30.4</f>
        <v>136.79999999999998</v>
      </c>
      <c r="G47" s="57" t="s">
        <v>77</v>
      </c>
      <c r="H47" s="13"/>
      <c r="I47" s="13">
        <f t="shared" si="34"/>
        <v>0</v>
      </c>
      <c r="J47" s="13">
        <f aca="true" t="shared" si="42" ref="J47:J69">I47*$L$8</f>
        <v>0</v>
      </c>
      <c r="K47" s="13"/>
      <c r="L47" s="13">
        <f t="shared" si="35"/>
        <v>0</v>
      </c>
      <c r="M47" s="65">
        <f>2*150</f>
        <v>300</v>
      </c>
      <c r="N47" s="13">
        <f t="shared" si="36"/>
        <v>41039.99999999999</v>
      </c>
      <c r="O47" s="13"/>
      <c r="P47" s="13">
        <f t="shared" si="37"/>
        <v>0</v>
      </c>
      <c r="Q47" s="38"/>
      <c r="R47" s="13">
        <f t="shared" si="38"/>
        <v>0</v>
      </c>
      <c r="S47" s="13">
        <f t="shared" si="39"/>
        <v>41039.99999999999</v>
      </c>
      <c r="T47" s="38">
        <v>0.25</v>
      </c>
      <c r="U47" s="13">
        <f t="shared" si="40"/>
        <v>10259.999999999998</v>
      </c>
      <c r="V47" s="13">
        <f t="shared" si="41"/>
        <v>51299.99999999999</v>
      </c>
      <c r="W47" s="3"/>
      <c r="X47" s="3"/>
      <c r="Y47" s="3"/>
      <c r="AB47" s="43"/>
      <c r="AC47" s="82"/>
    </row>
    <row r="48" spans="1:29" s="4" customFormat="1" ht="11.25">
      <c r="A48" s="50">
        <v>1.35</v>
      </c>
      <c r="B48" s="3"/>
      <c r="C48" s="37"/>
      <c r="D48" s="56" t="s">
        <v>133</v>
      </c>
      <c r="E48" s="37" t="s">
        <v>132</v>
      </c>
      <c r="F48" s="64">
        <v>1</v>
      </c>
      <c r="G48" s="57" t="s">
        <v>67</v>
      </c>
      <c r="H48" s="13"/>
      <c r="I48" s="13">
        <f t="shared" si="34"/>
        <v>0</v>
      </c>
      <c r="J48" s="13">
        <f t="shared" si="42"/>
        <v>0</v>
      </c>
      <c r="K48" s="13"/>
      <c r="L48" s="13">
        <f t="shared" si="35"/>
        <v>0</v>
      </c>
      <c r="M48" s="65">
        <v>15000</v>
      </c>
      <c r="N48" s="13">
        <f t="shared" si="36"/>
        <v>15000</v>
      </c>
      <c r="O48" s="13"/>
      <c r="P48" s="13">
        <f t="shared" si="37"/>
        <v>0</v>
      </c>
      <c r="Q48" s="38"/>
      <c r="R48" s="13">
        <f t="shared" si="38"/>
        <v>0</v>
      </c>
      <c r="S48" s="13">
        <f t="shared" si="39"/>
        <v>15000</v>
      </c>
      <c r="T48" s="38">
        <v>0.25</v>
      </c>
      <c r="U48" s="13">
        <f t="shared" si="40"/>
        <v>3750</v>
      </c>
      <c r="V48" s="13">
        <f t="shared" si="41"/>
        <v>18750</v>
      </c>
      <c r="W48" s="3"/>
      <c r="X48" s="3"/>
      <c r="Y48" s="3"/>
      <c r="AB48" s="43"/>
      <c r="AC48" s="82"/>
    </row>
    <row r="49" spans="1:29" s="4" customFormat="1" ht="11.25">
      <c r="A49" s="50">
        <v>1.36</v>
      </c>
      <c r="B49" s="3"/>
      <c r="C49" s="37"/>
      <c r="D49" s="56" t="s">
        <v>134</v>
      </c>
      <c r="E49" s="37" t="s">
        <v>132</v>
      </c>
      <c r="F49" s="64">
        <v>4.5</v>
      </c>
      <c r="G49" s="57" t="s">
        <v>75</v>
      </c>
      <c r="H49" s="13"/>
      <c r="I49" s="13">
        <f t="shared" si="34"/>
        <v>0</v>
      </c>
      <c r="J49" s="13">
        <f t="shared" si="42"/>
        <v>0</v>
      </c>
      <c r="K49" s="13"/>
      <c r="L49" s="13">
        <f t="shared" si="35"/>
        <v>0</v>
      </c>
      <c r="M49" s="65">
        <v>2000</v>
      </c>
      <c r="N49" s="13">
        <f t="shared" si="36"/>
        <v>9000</v>
      </c>
      <c r="O49" s="13"/>
      <c r="P49" s="13">
        <f t="shared" si="37"/>
        <v>0</v>
      </c>
      <c r="Q49" s="38"/>
      <c r="R49" s="13">
        <f t="shared" si="38"/>
        <v>0</v>
      </c>
      <c r="S49" s="13">
        <f t="shared" si="39"/>
        <v>9000</v>
      </c>
      <c r="T49" s="38">
        <v>0.25</v>
      </c>
      <c r="U49" s="13">
        <f t="shared" si="40"/>
        <v>2250</v>
      </c>
      <c r="V49" s="13">
        <f t="shared" si="41"/>
        <v>11250</v>
      </c>
      <c r="W49" s="3"/>
      <c r="X49" s="3"/>
      <c r="Y49" s="3"/>
      <c r="AB49" s="43"/>
      <c r="AC49" s="82"/>
    </row>
    <row r="50" spans="1:29" s="4" customFormat="1" ht="11.25">
      <c r="A50" s="50">
        <v>1.37</v>
      </c>
      <c r="B50" s="3"/>
      <c r="C50" s="37"/>
      <c r="D50" s="56" t="s">
        <v>135</v>
      </c>
      <c r="E50" s="37" t="s">
        <v>95</v>
      </c>
      <c r="F50" s="64">
        <f>F49</f>
        <v>4.5</v>
      </c>
      <c r="G50" s="57" t="s">
        <v>75</v>
      </c>
      <c r="H50" s="13"/>
      <c r="I50" s="13">
        <f t="shared" si="34"/>
        <v>0</v>
      </c>
      <c r="J50" s="13">
        <f t="shared" si="42"/>
        <v>0</v>
      </c>
      <c r="K50" s="13"/>
      <c r="L50" s="13">
        <f t="shared" si="35"/>
        <v>0</v>
      </c>
      <c r="M50" s="65">
        <v>5000</v>
      </c>
      <c r="N50" s="13">
        <f t="shared" si="36"/>
        <v>22500</v>
      </c>
      <c r="O50" s="13"/>
      <c r="P50" s="13">
        <f t="shared" si="37"/>
        <v>0</v>
      </c>
      <c r="Q50" s="38"/>
      <c r="R50" s="13">
        <f t="shared" si="38"/>
        <v>0</v>
      </c>
      <c r="S50" s="13">
        <f t="shared" si="39"/>
        <v>22500</v>
      </c>
      <c r="T50" s="38">
        <v>0.25</v>
      </c>
      <c r="U50" s="13">
        <f t="shared" si="40"/>
        <v>5625</v>
      </c>
      <c r="V50" s="13">
        <f t="shared" si="41"/>
        <v>28125</v>
      </c>
      <c r="W50" s="3"/>
      <c r="X50" s="3"/>
      <c r="Y50" s="3"/>
      <c r="AB50" s="43"/>
      <c r="AC50" s="82"/>
    </row>
    <row r="51" spans="1:29" s="4" customFormat="1" ht="11.25">
      <c r="A51" s="50">
        <v>1.38</v>
      </c>
      <c r="B51" s="3"/>
      <c r="C51" s="37"/>
      <c r="D51" s="56" t="s">
        <v>136</v>
      </c>
      <c r="E51" s="37" t="s">
        <v>94</v>
      </c>
      <c r="F51" s="64">
        <f>F47</f>
        <v>136.79999999999998</v>
      </c>
      <c r="G51" s="57" t="s">
        <v>77</v>
      </c>
      <c r="H51" s="13"/>
      <c r="I51" s="13">
        <f t="shared" si="34"/>
        <v>0</v>
      </c>
      <c r="J51" s="13">
        <f t="shared" si="42"/>
        <v>0</v>
      </c>
      <c r="K51" s="13"/>
      <c r="L51" s="13">
        <f t="shared" si="35"/>
        <v>0</v>
      </c>
      <c r="M51" s="65">
        <f>6*150</f>
        <v>900</v>
      </c>
      <c r="N51" s="13">
        <f t="shared" si="36"/>
        <v>123119.99999999999</v>
      </c>
      <c r="O51" s="13"/>
      <c r="P51" s="13">
        <f t="shared" si="37"/>
        <v>0</v>
      </c>
      <c r="Q51" s="38"/>
      <c r="R51" s="13">
        <f t="shared" si="38"/>
        <v>0</v>
      </c>
      <c r="S51" s="13">
        <f t="shared" si="39"/>
        <v>123119.99999999999</v>
      </c>
      <c r="T51" s="38">
        <v>0.25</v>
      </c>
      <c r="U51" s="13">
        <f t="shared" si="40"/>
        <v>30779.999999999996</v>
      </c>
      <c r="V51" s="13">
        <f t="shared" si="41"/>
        <v>153899.99999999997</v>
      </c>
      <c r="W51" s="3"/>
      <c r="X51" s="3"/>
      <c r="Y51" s="3"/>
      <c r="AB51" s="43"/>
      <c r="AC51" s="82"/>
    </row>
    <row r="52" spans="1:29" s="4" customFormat="1" ht="11.25">
      <c r="A52" s="50">
        <v>1.39</v>
      </c>
      <c r="B52" s="3"/>
      <c r="C52" s="37"/>
      <c r="D52" s="56" t="s">
        <v>137</v>
      </c>
      <c r="E52" s="37" t="s">
        <v>94</v>
      </c>
      <c r="F52" s="64">
        <f>F49</f>
        <v>4.5</v>
      </c>
      <c r="G52" s="57" t="s">
        <v>75</v>
      </c>
      <c r="H52" s="13"/>
      <c r="I52" s="13">
        <f>F52*H52</f>
        <v>0</v>
      </c>
      <c r="J52" s="13">
        <f>I52*$L$8</f>
        <v>0</v>
      </c>
      <c r="K52" s="13"/>
      <c r="L52" s="13">
        <f>F52*K52</f>
        <v>0</v>
      </c>
      <c r="M52" s="65">
        <f>6*3740</f>
        <v>22440</v>
      </c>
      <c r="N52" s="13">
        <f>F52*M52</f>
        <v>100980</v>
      </c>
      <c r="O52" s="13"/>
      <c r="P52" s="13">
        <f>F52*O52</f>
        <v>0</v>
      </c>
      <c r="Q52" s="38"/>
      <c r="R52" s="13">
        <f>(J52+L52+N52+P52)*Q52</f>
        <v>0</v>
      </c>
      <c r="S52" s="13">
        <f>J52+L52+N52+P52+R52</f>
        <v>100980</v>
      </c>
      <c r="T52" s="38">
        <v>0.25</v>
      </c>
      <c r="U52" s="13">
        <f>S52*T52</f>
        <v>25245</v>
      </c>
      <c r="V52" s="13">
        <f>S52+U52</f>
        <v>126225</v>
      </c>
      <c r="W52" s="3"/>
      <c r="X52" s="3"/>
      <c r="Y52" s="3"/>
      <c r="AB52" s="43"/>
      <c r="AC52" s="82"/>
    </row>
    <row r="53" spans="1:29" s="4" customFormat="1" ht="11.25">
      <c r="A53" s="50">
        <v>1.4</v>
      </c>
      <c r="B53" s="3"/>
      <c r="C53" s="37"/>
      <c r="D53" s="56" t="s">
        <v>76</v>
      </c>
      <c r="E53" s="37" t="s">
        <v>94</v>
      </c>
      <c r="F53" s="64">
        <f>F49</f>
        <v>4.5</v>
      </c>
      <c r="G53" s="57" t="s">
        <v>75</v>
      </c>
      <c r="H53" s="13"/>
      <c r="I53" s="13">
        <f>F53*H53</f>
        <v>0</v>
      </c>
      <c r="J53" s="13">
        <f>I53*$L$8</f>
        <v>0</v>
      </c>
      <c r="K53" s="13"/>
      <c r="L53" s="13">
        <f>F53*K53</f>
        <v>0</v>
      </c>
      <c r="M53" s="65">
        <f>6*1320</f>
        <v>7920</v>
      </c>
      <c r="N53" s="13">
        <f>F53*M53</f>
        <v>35640</v>
      </c>
      <c r="O53" s="13"/>
      <c r="P53" s="13">
        <f>F53*O53</f>
        <v>0</v>
      </c>
      <c r="Q53" s="38"/>
      <c r="R53" s="13">
        <f>(J53+L53+N53+P53)*Q53</f>
        <v>0</v>
      </c>
      <c r="S53" s="13">
        <f>J53+L53+N53+P53+R53</f>
        <v>35640</v>
      </c>
      <c r="T53" s="38">
        <v>0.25</v>
      </c>
      <c r="U53" s="13">
        <f>S53*T53</f>
        <v>8910</v>
      </c>
      <c r="V53" s="13">
        <f>S53+U53</f>
        <v>44550</v>
      </c>
      <c r="W53" s="3"/>
      <c r="X53" s="3"/>
      <c r="Y53" s="3"/>
      <c r="AC53" s="82"/>
    </row>
    <row r="54" spans="1:29" s="4" customFormat="1" ht="11.25">
      <c r="A54" s="50">
        <v>1.41</v>
      </c>
      <c r="B54" s="3"/>
      <c r="C54" s="37"/>
      <c r="D54" s="56"/>
      <c r="E54" s="37"/>
      <c r="F54" s="64"/>
      <c r="G54" s="57"/>
      <c r="H54" s="13"/>
      <c r="I54" s="13">
        <f t="shared" si="34"/>
        <v>0</v>
      </c>
      <c r="J54" s="13">
        <f t="shared" si="42"/>
        <v>0</v>
      </c>
      <c r="K54" s="13"/>
      <c r="L54" s="13">
        <f t="shared" si="35"/>
        <v>0</v>
      </c>
      <c r="M54" s="13"/>
      <c r="N54" s="13">
        <f t="shared" si="36"/>
        <v>0</v>
      </c>
      <c r="O54" s="13"/>
      <c r="P54" s="13">
        <f t="shared" si="37"/>
        <v>0</v>
      </c>
      <c r="Q54" s="38"/>
      <c r="R54" s="13">
        <f t="shared" si="38"/>
        <v>0</v>
      </c>
      <c r="S54" s="13">
        <f t="shared" si="39"/>
        <v>0</v>
      </c>
      <c r="T54" s="38"/>
      <c r="U54" s="13">
        <f t="shared" si="40"/>
        <v>0</v>
      </c>
      <c r="V54" s="13">
        <f t="shared" si="41"/>
        <v>0</v>
      </c>
      <c r="W54" s="3"/>
      <c r="X54" s="3"/>
      <c r="Y54" s="3"/>
      <c r="AC54" s="82"/>
    </row>
    <row r="55" spans="1:29" s="4" customFormat="1" ht="33.75">
      <c r="A55" s="50">
        <v>1.42</v>
      </c>
      <c r="B55" s="3"/>
      <c r="C55" s="37"/>
      <c r="D55" s="59" t="s">
        <v>72</v>
      </c>
      <c r="E55" s="37" t="s">
        <v>138</v>
      </c>
      <c r="F55" s="64"/>
      <c r="G55" s="57"/>
      <c r="H55" s="13"/>
      <c r="I55" s="13">
        <f t="shared" si="34"/>
        <v>0</v>
      </c>
      <c r="J55" s="13">
        <f t="shared" si="42"/>
        <v>0</v>
      </c>
      <c r="K55" s="13"/>
      <c r="L55" s="13">
        <f t="shared" si="35"/>
        <v>0</v>
      </c>
      <c r="M55" s="13"/>
      <c r="N55" s="13">
        <f t="shared" si="36"/>
        <v>0</v>
      </c>
      <c r="O55" s="13"/>
      <c r="P55" s="13">
        <f t="shared" si="37"/>
        <v>0</v>
      </c>
      <c r="Q55" s="38"/>
      <c r="R55" s="13">
        <f t="shared" si="38"/>
        <v>0</v>
      </c>
      <c r="S55" s="13">
        <f t="shared" si="39"/>
        <v>0</v>
      </c>
      <c r="T55" s="38"/>
      <c r="U55" s="13">
        <f t="shared" si="40"/>
        <v>0</v>
      </c>
      <c r="V55" s="13">
        <f t="shared" si="41"/>
        <v>0</v>
      </c>
      <c r="W55" s="3"/>
      <c r="X55" s="3"/>
      <c r="Y55" s="3"/>
      <c r="AC55" s="82"/>
    </row>
    <row r="56" spans="1:29" s="4" customFormat="1" ht="11.25">
      <c r="A56" s="50">
        <v>1.43</v>
      </c>
      <c r="B56" s="3"/>
      <c r="C56" s="37"/>
      <c r="D56" s="56" t="s">
        <v>140</v>
      </c>
      <c r="E56" s="37" t="s">
        <v>98</v>
      </c>
      <c r="F56" s="64">
        <f>2*30.4</f>
        <v>60.8</v>
      </c>
      <c r="G56" s="57" t="s">
        <v>77</v>
      </c>
      <c r="H56" s="13"/>
      <c r="I56" s="13">
        <f t="shared" si="34"/>
        <v>0</v>
      </c>
      <c r="J56" s="13">
        <f t="shared" si="42"/>
        <v>0</v>
      </c>
      <c r="K56" s="13"/>
      <c r="L56" s="13">
        <f t="shared" si="35"/>
        <v>0</v>
      </c>
      <c r="M56" s="65">
        <f>24*110</f>
        <v>2640</v>
      </c>
      <c r="N56" s="13">
        <f t="shared" si="36"/>
        <v>160512</v>
      </c>
      <c r="O56" s="13"/>
      <c r="P56" s="13">
        <f t="shared" si="37"/>
        <v>0</v>
      </c>
      <c r="Q56" s="38"/>
      <c r="R56" s="13">
        <f t="shared" si="38"/>
        <v>0</v>
      </c>
      <c r="S56" s="13">
        <f t="shared" si="39"/>
        <v>160512</v>
      </c>
      <c r="T56" s="38">
        <v>0.25</v>
      </c>
      <c r="U56" s="13">
        <f t="shared" si="40"/>
        <v>40128</v>
      </c>
      <c r="V56" s="13">
        <f t="shared" si="41"/>
        <v>200640</v>
      </c>
      <c r="W56" s="3"/>
      <c r="X56" s="3"/>
      <c r="Y56" s="3"/>
      <c r="AB56" s="43"/>
      <c r="AC56" s="82"/>
    </row>
    <row r="57" spans="1:29" s="4" customFormat="1" ht="11.25">
      <c r="A57" s="50">
        <v>1.44</v>
      </c>
      <c r="B57" s="3"/>
      <c r="C57" s="37"/>
      <c r="D57" s="56" t="s">
        <v>74</v>
      </c>
      <c r="E57" s="37" t="s">
        <v>98</v>
      </c>
      <c r="F57" s="64">
        <f>F56</f>
        <v>60.8</v>
      </c>
      <c r="G57" s="57" t="s">
        <v>77</v>
      </c>
      <c r="H57" s="13"/>
      <c r="I57" s="13">
        <f t="shared" si="34"/>
        <v>0</v>
      </c>
      <c r="J57" s="13">
        <f t="shared" si="42"/>
        <v>0</v>
      </c>
      <c r="K57" s="13"/>
      <c r="L57" s="13">
        <f t="shared" si="35"/>
        <v>0</v>
      </c>
      <c r="M57" s="65">
        <f>24*110</f>
        <v>2640</v>
      </c>
      <c r="N57" s="13">
        <f t="shared" si="36"/>
        <v>160512</v>
      </c>
      <c r="O57" s="13"/>
      <c r="P57" s="13">
        <f t="shared" si="37"/>
        <v>0</v>
      </c>
      <c r="Q57" s="38"/>
      <c r="R57" s="13">
        <f t="shared" si="38"/>
        <v>0</v>
      </c>
      <c r="S57" s="13">
        <f t="shared" si="39"/>
        <v>160512</v>
      </c>
      <c r="T57" s="38">
        <v>0.25</v>
      </c>
      <c r="U57" s="13">
        <f t="shared" si="40"/>
        <v>40128</v>
      </c>
      <c r="V57" s="13">
        <f t="shared" si="41"/>
        <v>200640</v>
      </c>
      <c r="W57" s="3"/>
      <c r="X57" s="3"/>
      <c r="Y57" s="3"/>
      <c r="AB57" s="43"/>
      <c r="AC57" s="82"/>
    </row>
    <row r="58" spans="1:29" s="4" customFormat="1" ht="11.25">
      <c r="A58" s="50">
        <v>1.45</v>
      </c>
      <c r="B58" s="3"/>
      <c r="C58" s="37"/>
      <c r="D58" s="56" t="s">
        <v>73</v>
      </c>
      <c r="E58" s="37" t="s">
        <v>97</v>
      </c>
      <c r="F58" s="74">
        <f>F56*2</f>
        <v>121.6</v>
      </c>
      <c r="G58" s="57" t="s">
        <v>77</v>
      </c>
      <c r="H58" s="13"/>
      <c r="I58" s="13">
        <f t="shared" si="34"/>
        <v>0</v>
      </c>
      <c r="J58" s="13">
        <f t="shared" si="42"/>
        <v>0</v>
      </c>
      <c r="K58" s="13"/>
      <c r="L58" s="13">
        <f t="shared" si="35"/>
        <v>0</v>
      </c>
      <c r="M58" s="65">
        <f>24*75</f>
        <v>1800</v>
      </c>
      <c r="N58" s="13">
        <f t="shared" si="36"/>
        <v>218880</v>
      </c>
      <c r="O58" s="13"/>
      <c r="P58" s="13">
        <f t="shared" si="37"/>
        <v>0</v>
      </c>
      <c r="Q58" s="38"/>
      <c r="R58" s="13">
        <f t="shared" si="38"/>
        <v>0</v>
      </c>
      <c r="S58" s="13">
        <f t="shared" si="39"/>
        <v>218880</v>
      </c>
      <c r="T58" s="38">
        <v>0.25</v>
      </c>
      <c r="U58" s="13">
        <f t="shared" si="40"/>
        <v>54720</v>
      </c>
      <c r="V58" s="13">
        <f t="shared" si="41"/>
        <v>273600</v>
      </c>
      <c r="W58" s="3"/>
      <c r="X58" s="3"/>
      <c r="Y58" s="3"/>
      <c r="AB58" s="43"/>
      <c r="AC58" s="82"/>
    </row>
    <row r="59" spans="1:29" s="4" customFormat="1" ht="11.25">
      <c r="A59" s="50">
        <v>1.42</v>
      </c>
      <c r="B59" s="3"/>
      <c r="C59" s="37"/>
      <c r="D59" s="56"/>
      <c r="E59" s="37"/>
      <c r="F59" s="64"/>
      <c r="G59" s="57"/>
      <c r="H59" s="13"/>
      <c r="I59" s="13">
        <f t="shared" si="34"/>
        <v>0</v>
      </c>
      <c r="J59" s="13">
        <f t="shared" si="42"/>
        <v>0</v>
      </c>
      <c r="K59" s="13"/>
      <c r="L59" s="13">
        <f t="shared" si="35"/>
        <v>0</v>
      </c>
      <c r="M59" s="13"/>
      <c r="N59" s="13">
        <f t="shared" si="36"/>
        <v>0</v>
      </c>
      <c r="O59" s="13"/>
      <c r="P59" s="13">
        <f t="shared" si="37"/>
        <v>0</v>
      </c>
      <c r="Q59" s="38"/>
      <c r="R59" s="13">
        <f t="shared" si="38"/>
        <v>0</v>
      </c>
      <c r="S59" s="13">
        <f t="shared" si="39"/>
        <v>0</v>
      </c>
      <c r="T59" s="38"/>
      <c r="U59" s="13">
        <f t="shared" si="40"/>
        <v>0</v>
      </c>
      <c r="V59" s="13">
        <f t="shared" si="41"/>
        <v>0</v>
      </c>
      <c r="W59" s="3"/>
      <c r="X59" s="3"/>
      <c r="Y59" s="3"/>
      <c r="AB59" s="43"/>
      <c r="AC59" s="82"/>
    </row>
    <row r="60" spans="1:29" s="4" customFormat="1" ht="11.25">
      <c r="A60" s="50">
        <v>1.43</v>
      </c>
      <c r="B60" s="3"/>
      <c r="C60" s="37"/>
      <c r="D60" s="59" t="s">
        <v>173</v>
      </c>
      <c r="E60" s="37"/>
      <c r="F60" s="64"/>
      <c r="G60" s="57"/>
      <c r="H60" s="13"/>
      <c r="I60" s="13">
        <f t="shared" si="34"/>
        <v>0</v>
      </c>
      <c r="J60" s="13">
        <f t="shared" si="42"/>
        <v>0</v>
      </c>
      <c r="K60" s="13"/>
      <c r="L60" s="13">
        <f t="shared" si="35"/>
        <v>0</v>
      </c>
      <c r="M60" s="119"/>
      <c r="N60" s="13">
        <f t="shared" si="36"/>
        <v>0</v>
      </c>
      <c r="O60" s="13"/>
      <c r="P60" s="13">
        <f t="shared" si="37"/>
        <v>0</v>
      </c>
      <c r="Q60" s="38"/>
      <c r="R60" s="13">
        <f t="shared" si="38"/>
        <v>0</v>
      </c>
      <c r="S60" s="13">
        <f t="shared" si="39"/>
        <v>0</v>
      </c>
      <c r="T60" s="38"/>
      <c r="U60" s="13">
        <f t="shared" si="40"/>
        <v>0</v>
      </c>
      <c r="V60" s="13">
        <f t="shared" si="41"/>
        <v>0</v>
      </c>
      <c r="W60" s="3"/>
      <c r="X60" s="3"/>
      <c r="Y60" s="3"/>
      <c r="AB60" s="43"/>
      <c r="AC60" s="82"/>
    </row>
    <row r="61" spans="1:29" s="4" customFormat="1" ht="56.25">
      <c r="A61" s="50">
        <v>1.44</v>
      </c>
      <c r="B61" s="3"/>
      <c r="C61" s="37"/>
      <c r="D61" s="56" t="s">
        <v>174</v>
      </c>
      <c r="E61" s="37" t="s">
        <v>175</v>
      </c>
      <c r="F61" s="64">
        <v>1</v>
      </c>
      <c r="G61" s="57" t="s">
        <v>108</v>
      </c>
      <c r="H61" s="13"/>
      <c r="I61" s="13">
        <f>F61*H61</f>
        <v>0</v>
      </c>
      <c r="J61" s="13">
        <f>I61*$L$8</f>
        <v>0</v>
      </c>
      <c r="K61" s="13"/>
      <c r="L61" s="13">
        <f>F61*K61</f>
        <v>0</v>
      </c>
      <c r="M61" s="119">
        <f>385000+(271*900)+(4*19712)+(12.6*F47*1.6)+(1*F47*4*100)</f>
        <v>765225.888</v>
      </c>
      <c r="N61" s="13">
        <f>F61*M61</f>
        <v>765225.888</v>
      </c>
      <c r="O61" s="13"/>
      <c r="P61" s="13">
        <f>F61*O61</f>
        <v>0</v>
      </c>
      <c r="Q61" s="38"/>
      <c r="R61" s="13">
        <f>(J61+L61+N61+P61)*Q61</f>
        <v>0</v>
      </c>
      <c r="S61" s="13">
        <f>J61+L61+N61+P61+R61</f>
        <v>765225.888</v>
      </c>
      <c r="T61" s="38">
        <v>0.25</v>
      </c>
      <c r="U61" s="13">
        <f>S61*T61</f>
        <v>191306.472</v>
      </c>
      <c r="V61" s="13">
        <f>S61+U61</f>
        <v>956532.3600000001</v>
      </c>
      <c r="W61" s="3"/>
      <c r="X61" s="3"/>
      <c r="Y61" s="3"/>
      <c r="AB61" s="43"/>
      <c r="AC61" s="82"/>
    </row>
    <row r="62" spans="1:29" s="4" customFormat="1" ht="11.25">
      <c r="A62" s="50">
        <v>1.45</v>
      </c>
      <c r="B62" s="3"/>
      <c r="C62" s="37"/>
      <c r="D62" s="56" t="s">
        <v>176</v>
      </c>
      <c r="E62" s="37"/>
      <c r="F62" s="64">
        <v>1</v>
      </c>
      <c r="G62" s="57" t="s">
        <v>67</v>
      </c>
      <c r="H62" s="13"/>
      <c r="I62" s="13">
        <f>F62*H62</f>
        <v>0</v>
      </c>
      <c r="J62" s="13">
        <f>I62*$L$8</f>
        <v>0</v>
      </c>
      <c r="K62" s="13"/>
      <c r="L62" s="13">
        <f>F62*K62</f>
        <v>0</v>
      </c>
      <c r="M62" s="119">
        <f>1000*F15</f>
        <v>18000</v>
      </c>
      <c r="N62" s="13">
        <f>F62*M62</f>
        <v>18000</v>
      </c>
      <c r="O62" s="13"/>
      <c r="P62" s="13">
        <f>F62*O62</f>
        <v>0</v>
      </c>
      <c r="Q62" s="38"/>
      <c r="R62" s="13">
        <f>(J62+L62+N62+P62)*Q62</f>
        <v>0</v>
      </c>
      <c r="S62" s="13">
        <f>J62+L62+N62+P62+R62</f>
        <v>18000</v>
      </c>
      <c r="T62" s="38">
        <v>0.25</v>
      </c>
      <c r="U62" s="13">
        <f>S62*T62</f>
        <v>4500</v>
      </c>
      <c r="V62" s="13">
        <f>S62+U62</f>
        <v>22500</v>
      </c>
      <c r="W62" s="3"/>
      <c r="X62" s="3"/>
      <c r="Y62" s="3"/>
      <c r="AC62" s="82"/>
    </row>
    <row r="63" spans="1:29" s="4" customFormat="1" ht="11.25">
      <c r="A63" s="50">
        <v>1.46</v>
      </c>
      <c r="B63" s="3"/>
      <c r="C63" s="37"/>
      <c r="D63" s="56" t="s">
        <v>177</v>
      </c>
      <c r="E63" s="37"/>
      <c r="F63" s="64">
        <v>50</v>
      </c>
      <c r="G63" s="57" t="s">
        <v>108</v>
      </c>
      <c r="H63" s="13"/>
      <c r="I63" s="13">
        <f>F63*H63</f>
        <v>0</v>
      </c>
      <c r="J63" s="13">
        <f>I63*$L$8</f>
        <v>0</v>
      </c>
      <c r="K63" s="13"/>
      <c r="L63" s="13">
        <f>F63*K63</f>
        <v>0</v>
      </c>
      <c r="M63" s="119">
        <v>500</v>
      </c>
      <c r="N63" s="13">
        <f>F63*M63</f>
        <v>25000</v>
      </c>
      <c r="O63" s="13"/>
      <c r="P63" s="13">
        <f>F63*O63</f>
        <v>0</v>
      </c>
      <c r="Q63" s="38"/>
      <c r="R63" s="13">
        <f>(J63+L63+N63+P63)*Q63</f>
        <v>0</v>
      </c>
      <c r="S63" s="13">
        <f>J63+L63+N63+P63+R63</f>
        <v>25000</v>
      </c>
      <c r="T63" s="38">
        <v>0.25</v>
      </c>
      <c r="U63" s="13">
        <f>S63*T63</f>
        <v>6250</v>
      </c>
      <c r="V63" s="13">
        <f>S63+U63</f>
        <v>31250</v>
      </c>
      <c r="W63" s="3"/>
      <c r="X63" s="3"/>
      <c r="Y63" s="3"/>
      <c r="AB63" s="43"/>
      <c r="AC63" s="82"/>
    </row>
    <row r="64" spans="1:29" s="4" customFormat="1" ht="11.25">
      <c r="A64" s="50">
        <v>1.46</v>
      </c>
      <c r="B64" s="3"/>
      <c r="C64" s="37"/>
      <c r="D64" s="56"/>
      <c r="E64" s="37"/>
      <c r="F64" s="64"/>
      <c r="G64" s="57"/>
      <c r="H64" s="13"/>
      <c r="I64" s="13">
        <f t="shared" si="34"/>
        <v>0</v>
      </c>
      <c r="J64" s="13">
        <f t="shared" si="42"/>
        <v>0</v>
      </c>
      <c r="K64" s="13"/>
      <c r="L64" s="13">
        <f t="shared" si="35"/>
        <v>0</v>
      </c>
      <c r="M64" s="13"/>
      <c r="N64" s="13">
        <f t="shared" si="36"/>
        <v>0</v>
      </c>
      <c r="O64" s="13"/>
      <c r="P64" s="13">
        <f t="shared" si="37"/>
        <v>0</v>
      </c>
      <c r="Q64" s="38"/>
      <c r="R64" s="13">
        <f t="shared" si="38"/>
        <v>0</v>
      </c>
      <c r="S64" s="13">
        <f t="shared" si="39"/>
        <v>0</v>
      </c>
      <c r="T64" s="38"/>
      <c r="U64" s="13">
        <f t="shared" si="40"/>
        <v>0</v>
      </c>
      <c r="V64" s="13">
        <f t="shared" si="41"/>
        <v>0</v>
      </c>
      <c r="W64" s="3"/>
      <c r="X64" s="3"/>
      <c r="Y64" s="3"/>
      <c r="AB64" s="43"/>
      <c r="AC64" s="82"/>
    </row>
    <row r="65" spans="1:29" s="4" customFormat="1" ht="33.75">
      <c r="A65" s="50">
        <v>1.47</v>
      </c>
      <c r="B65" s="3"/>
      <c r="C65" s="37"/>
      <c r="D65" s="59" t="s">
        <v>79</v>
      </c>
      <c r="E65" s="37" t="s">
        <v>78</v>
      </c>
      <c r="F65" s="64"/>
      <c r="G65" s="57"/>
      <c r="H65" s="13"/>
      <c r="I65" s="13">
        <f t="shared" si="34"/>
        <v>0</v>
      </c>
      <c r="J65" s="13">
        <f t="shared" si="42"/>
        <v>0</v>
      </c>
      <c r="K65" s="13"/>
      <c r="L65" s="13">
        <f t="shared" si="35"/>
        <v>0</v>
      </c>
      <c r="M65" s="13"/>
      <c r="N65" s="13">
        <f t="shared" si="36"/>
        <v>0</v>
      </c>
      <c r="O65" s="13"/>
      <c r="P65" s="13">
        <f t="shared" si="37"/>
        <v>0</v>
      </c>
      <c r="Q65" s="38"/>
      <c r="R65" s="13">
        <f t="shared" si="38"/>
        <v>0</v>
      </c>
      <c r="S65" s="13">
        <f t="shared" si="39"/>
        <v>0</v>
      </c>
      <c r="T65" s="38"/>
      <c r="U65" s="13">
        <f t="shared" si="40"/>
        <v>0</v>
      </c>
      <c r="V65" s="13">
        <f t="shared" si="41"/>
        <v>0</v>
      </c>
      <c r="W65" s="3"/>
      <c r="X65" s="3"/>
      <c r="Y65" s="3"/>
      <c r="AB65" s="43"/>
      <c r="AC65" s="82"/>
    </row>
    <row r="66" spans="1:29" s="4" customFormat="1" ht="11.25">
      <c r="A66" s="50">
        <v>1.48</v>
      </c>
      <c r="B66" s="3"/>
      <c r="C66" s="37"/>
      <c r="D66" s="56" t="s">
        <v>139</v>
      </c>
      <c r="E66" s="37" t="s">
        <v>80</v>
      </c>
      <c r="F66" s="74">
        <f>F67/27000</f>
        <v>44.066037037037034</v>
      </c>
      <c r="G66" s="57" t="s">
        <v>128</v>
      </c>
      <c r="H66" s="13"/>
      <c r="I66" s="13">
        <f t="shared" si="34"/>
        <v>0</v>
      </c>
      <c r="J66" s="13">
        <f t="shared" si="42"/>
        <v>0</v>
      </c>
      <c r="K66" s="13"/>
      <c r="L66" s="13">
        <f t="shared" si="35"/>
        <v>0</v>
      </c>
      <c r="M66" s="65">
        <f>(71.4+100)*4</f>
        <v>685.6</v>
      </c>
      <c r="N66" s="13">
        <f t="shared" si="36"/>
        <v>30211.67499259259</v>
      </c>
      <c r="O66" s="13"/>
      <c r="P66" s="13">
        <f t="shared" si="37"/>
        <v>0</v>
      </c>
      <c r="Q66" s="38"/>
      <c r="R66" s="13">
        <f t="shared" si="38"/>
        <v>0</v>
      </c>
      <c r="S66" s="13">
        <f t="shared" si="39"/>
        <v>30211.67499259259</v>
      </c>
      <c r="T66" s="38">
        <v>0.25</v>
      </c>
      <c r="U66" s="13">
        <f t="shared" si="40"/>
        <v>7552.918748148148</v>
      </c>
      <c r="V66" s="13">
        <f t="shared" si="41"/>
        <v>37764.59374074074</v>
      </c>
      <c r="W66" s="58"/>
      <c r="X66" s="3"/>
      <c r="Y66" s="3"/>
      <c r="AB66" s="43"/>
      <c r="AC66" s="82"/>
    </row>
    <row r="67" spans="1:29" s="4" customFormat="1" ht="11.25">
      <c r="A67" s="50">
        <v>1.49</v>
      </c>
      <c r="B67" s="3"/>
      <c r="C67" s="37"/>
      <c r="D67" s="67"/>
      <c r="E67" s="4" t="s">
        <v>105</v>
      </c>
      <c r="F67" s="63">
        <f>334736+817847+18000+19200</f>
        <v>1189783</v>
      </c>
      <c r="G67" s="69" t="s">
        <v>96</v>
      </c>
      <c r="H67" s="13"/>
      <c r="I67" s="13">
        <f>F67*H67</f>
        <v>0</v>
      </c>
      <c r="J67" s="13">
        <f>I67*$L$8</f>
        <v>0</v>
      </c>
      <c r="K67" s="13"/>
      <c r="L67" s="13">
        <f>F67*K67</f>
        <v>0</v>
      </c>
      <c r="M67" s="13"/>
      <c r="N67" s="13">
        <f>F67*M67</f>
        <v>0</v>
      </c>
      <c r="O67" s="13"/>
      <c r="P67" s="13">
        <f>F67*O67</f>
        <v>0</v>
      </c>
      <c r="Q67" s="38"/>
      <c r="R67" s="13">
        <f>(J67+L67+N67+P67)*Q67</f>
        <v>0</v>
      </c>
      <c r="S67" s="13">
        <f>J67+L67+N67+P67+R67</f>
        <v>0</v>
      </c>
      <c r="T67" s="38"/>
      <c r="U67" s="13">
        <f>S67*T67</f>
        <v>0</v>
      </c>
      <c r="V67" s="13">
        <f>S67+U67</f>
        <v>0</v>
      </c>
      <c r="W67" s="3"/>
      <c r="X67" s="3"/>
      <c r="Y67" s="3"/>
      <c r="AB67" s="43"/>
      <c r="AC67" s="82"/>
    </row>
    <row r="68" spans="1:29" s="4" customFormat="1" ht="11.25">
      <c r="A68" s="50">
        <v>1.5</v>
      </c>
      <c r="B68" s="3"/>
      <c r="C68" s="37"/>
      <c r="D68" s="67"/>
      <c r="E68" s="37"/>
      <c r="F68" s="68"/>
      <c r="G68" s="69"/>
      <c r="H68" s="13"/>
      <c r="I68" s="13">
        <f t="shared" si="34"/>
        <v>0</v>
      </c>
      <c r="J68" s="13">
        <f t="shared" si="42"/>
        <v>0</v>
      </c>
      <c r="K68" s="13"/>
      <c r="L68" s="13">
        <f t="shared" si="35"/>
        <v>0</v>
      </c>
      <c r="M68" s="13"/>
      <c r="N68" s="13">
        <f t="shared" si="36"/>
        <v>0</v>
      </c>
      <c r="O68" s="13"/>
      <c r="P68" s="13">
        <f t="shared" si="37"/>
        <v>0</v>
      </c>
      <c r="Q68" s="38"/>
      <c r="R68" s="13">
        <f t="shared" si="38"/>
        <v>0</v>
      </c>
      <c r="S68" s="13">
        <f t="shared" si="39"/>
        <v>0</v>
      </c>
      <c r="T68" s="38"/>
      <c r="U68" s="13">
        <f t="shared" si="40"/>
        <v>0</v>
      </c>
      <c r="V68" s="13">
        <f t="shared" si="41"/>
        <v>0</v>
      </c>
      <c r="W68" s="3"/>
      <c r="X68" s="3"/>
      <c r="Y68" s="3"/>
      <c r="AB68" s="43"/>
      <c r="AC68" s="82"/>
    </row>
    <row r="69" spans="1:29" s="4" customFormat="1" ht="11.25">
      <c r="A69" s="50">
        <v>1.51</v>
      </c>
      <c r="B69" s="3"/>
      <c r="C69" s="37"/>
      <c r="D69" s="56"/>
      <c r="E69" s="37"/>
      <c r="F69" s="64"/>
      <c r="G69" s="57"/>
      <c r="H69" s="13"/>
      <c r="I69" s="13">
        <f t="shared" si="34"/>
        <v>0</v>
      </c>
      <c r="J69" s="13">
        <f t="shared" si="42"/>
        <v>0</v>
      </c>
      <c r="K69" s="13"/>
      <c r="L69" s="13">
        <f t="shared" si="35"/>
        <v>0</v>
      </c>
      <c r="M69" s="13"/>
      <c r="N69" s="13">
        <f t="shared" si="36"/>
        <v>0</v>
      </c>
      <c r="O69" s="13"/>
      <c r="P69" s="13">
        <f t="shared" si="37"/>
        <v>0</v>
      </c>
      <c r="Q69" s="38"/>
      <c r="R69" s="13">
        <f t="shared" si="38"/>
        <v>0</v>
      </c>
      <c r="S69" s="13">
        <f t="shared" si="39"/>
        <v>0</v>
      </c>
      <c r="T69" s="38"/>
      <c r="U69" s="13">
        <f t="shared" si="40"/>
        <v>0</v>
      </c>
      <c r="V69" s="13">
        <f t="shared" si="41"/>
        <v>0</v>
      </c>
      <c r="W69" s="3"/>
      <c r="X69" s="3"/>
      <c r="Y69" s="3"/>
      <c r="AB69" s="43"/>
      <c r="AC69" s="82"/>
    </row>
    <row r="70" spans="2:29" s="14" customFormat="1" ht="24.75" customHeight="1">
      <c r="B70" s="121" t="s">
        <v>37</v>
      </c>
      <c r="C70" s="121"/>
      <c r="D70" s="121"/>
      <c r="E70" s="121"/>
      <c r="F70" s="121"/>
      <c r="G70" s="121"/>
      <c r="H70" s="121"/>
      <c r="I70" s="36">
        <f>SUM(I14:I69)</f>
        <v>0</v>
      </c>
      <c r="J70" s="36">
        <f>SUM(J14:J69)</f>
        <v>0</v>
      </c>
      <c r="K70" s="48"/>
      <c r="L70" s="36">
        <f>SUM(L14:L69)</f>
        <v>0</v>
      </c>
      <c r="M70" s="48"/>
      <c r="N70" s="36">
        <f>SUM(N14:N69)</f>
        <v>13217622.131792594</v>
      </c>
      <c r="O70" s="48"/>
      <c r="P70" s="36">
        <f>SUM(P14:P69)</f>
        <v>0</v>
      </c>
      <c r="Q70" s="41">
        <f>R70/S70</f>
        <v>0</v>
      </c>
      <c r="R70" s="36">
        <f>SUM(R14:R69)</f>
        <v>0</v>
      </c>
      <c r="S70" s="36">
        <f>SUM(S14:S69)</f>
        <v>13217622.131792594</v>
      </c>
      <c r="T70" s="41">
        <f>U70/S70</f>
        <v>0.25</v>
      </c>
      <c r="U70" s="36">
        <f>SUM(U14:U69)</f>
        <v>3304405.5329481484</v>
      </c>
      <c r="V70" s="36">
        <f>SUM(V14:V69)</f>
        <v>16522027.66474074</v>
      </c>
      <c r="W70" s="4"/>
      <c r="X70" s="4"/>
      <c r="Y70" s="4"/>
      <c r="AB70" s="79"/>
      <c r="AC70" s="82"/>
    </row>
    <row r="71" spans="2:29" s="4" customFormat="1" ht="4.5" customHeight="1">
      <c r="B71" s="45"/>
      <c r="C71" s="45"/>
      <c r="D71" s="45"/>
      <c r="E71" s="45"/>
      <c r="F71" s="46"/>
      <c r="G71" s="61"/>
      <c r="H71" s="46"/>
      <c r="I71" s="46"/>
      <c r="J71" s="46"/>
      <c r="K71" s="46"/>
      <c r="L71" s="46"/>
      <c r="M71" s="46"/>
      <c r="N71" s="46"/>
      <c r="O71" s="46"/>
      <c r="P71" s="46"/>
      <c r="Q71" s="47"/>
      <c r="R71" s="46"/>
      <c r="S71" s="46"/>
      <c r="T71" s="47"/>
      <c r="U71" s="46"/>
      <c r="V71" s="46"/>
      <c r="W71" s="45"/>
      <c r="X71" s="45"/>
      <c r="Y71" s="45"/>
      <c r="AC71" s="82"/>
    </row>
    <row r="72" spans="2:29" s="4" customFormat="1" ht="11.25">
      <c r="B72" s="49" t="s">
        <v>45</v>
      </c>
      <c r="C72" s="45"/>
      <c r="D72" s="45"/>
      <c r="E72" s="45"/>
      <c r="F72" s="46"/>
      <c r="G72" s="61"/>
      <c r="H72" s="46"/>
      <c r="I72" s="46"/>
      <c r="J72" s="46"/>
      <c r="K72" s="46"/>
      <c r="L72" s="46"/>
      <c r="M72" s="46"/>
      <c r="N72" s="46"/>
      <c r="O72" s="46"/>
      <c r="P72" s="46"/>
      <c r="Q72" s="47"/>
      <c r="R72" s="46"/>
      <c r="S72" s="46"/>
      <c r="T72" s="47"/>
      <c r="U72" s="46"/>
      <c r="V72" s="46"/>
      <c r="W72" s="45"/>
      <c r="X72" s="45"/>
      <c r="Y72" s="45"/>
      <c r="AC72" s="82"/>
    </row>
    <row r="73" spans="2:29" s="4" customFormat="1" ht="4.5" customHeight="1">
      <c r="B73" s="45"/>
      <c r="C73" s="45"/>
      <c r="D73" s="45"/>
      <c r="E73" s="45"/>
      <c r="F73" s="46"/>
      <c r="G73" s="61"/>
      <c r="H73" s="46"/>
      <c r="I73" s="46"/>
      <c r="J73" s="46"/>
      <c r="K73" s="46"/>
      <c r="L73" s="46"/>
      <c r="M73" s="46"/>
      <c r="N73" s="46"/>
      <c r="O73" s="46"/>
      <c r="P73" s="46"/>
      <c r="Q73" s="47"/>
      <c r="R73" s="46"/>
      <c r="S73" s="46"/>
      <c r="T73" s="47"/>
      <c r="U73" s="46"/>
      <c r="V73" s="46"/>
      <c r="W73" s="45"/>
      <c r="X73" s="45"/>
      <c r="Y73" s="45"/>
      <c r="AC73" s="82"/>
    </row>
    <row r="74" spans="1:29" s="4" customFormat="1" ht="11.25">
      <c r="A74" s="50">
        <v>2.01</v>
      </c>
      <c r="B74" s="3"/>
      <c r="C74" s="3"/>
      <c r="D74" s="3" t="s">
        <v>61</v>
      </c>
      <c r="E74" s="3" t="s">
        <v>146</v>
      </c>
      <c r="F74" s="64">
        <f>50*30.4*4.75</f>
        <v>7220</v>
      </c>
      <c r="G74" s="57" t="s">
        <v>69</v>
      </c>
      <c r="H74" s="13"/>
      <c r="I74" s="13">
        <f>F74*H74</f>
        <v>0</v>
      </c>
      <c r="J74" s="13">
        <f aca="true" t="shared" si="43" ref="J74:J90">I74*$L$8</f>
        <v>0</v>
      </c>
      <c r="K74" s="13"/>
      <c r="L74" s="13">
        <f>F74*K74</f>
        <v>0</v>
      </c>
      <c r="M74" s="62">
        <v>615.49</v>
      </c>
      <c r="N74" s="13">
        <f>F74*M74</f>
        <v>4443837.8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4443837.8</v>
      </c>
      <c r="T74" s="38">
        <v>0.25</v>
      </c>
      <c r="U74" s="13">
        <f>S74*T74</f>
        <v>1110959.45</v>
      </c>
      <c r="V74" s="13">
        <f>S74+U74</f>
        <v>5554797.25</v>
      </c>
      <c r="W74" s="3"/>
      <c r="X74" s="3"/>
      <c r="Y74" s="3"/>
      <c r="AB74" s="43"/>
      <c r="AC74" s="82"/>
    </row>
    <row r="75" spans="1:29" s="4" customFormat="1" ht="22.5">
      <c r="A75" s="50">
        <v>2.02</v>
      </c>
      <c r="B75" s="3"/>
      <c r="C75" s="3"/>
      <c r="D75" s="37" t="s">
        <v>46</v>
      </c>
      <c r="E75" s="3"/>
      <c r="F75" s="66">
        <v>0.03</v>
      </c>
      <c r="G75" s="57"/>
      <c r="H75" s="13"/>
      <c r="I75" s="13">
        <f>F75*H75</f>
        <v>0</v>
      </c>
      <c r="J75" s="13">
        <f t="shared" si="43"/>
        <v>0</v>
      </c>
      <c r="K75" s="13"/>
      <c r="L75" s="13">
        <f>F75*K75</f>
        <v>0</v>
      </c>
      <c r="M75" s="62">
        <f>S70</f>
        <v>13217622.131792594</v>
      </c>
      <c r="N75" s="13">
        <f>F75*M75</f>
        <v>396528.6639537778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396528.6639537778</v>
      </c>
      <c r="T75" s="38">
        <v>0.25</v>
      </c>
      <c r="U75" s="13">
        <f>S75*T75</f>
        <v>99132.16598844445</v>
      </c>
      <c r="V75" s="13">
        <f>S75+U75</f>
        <v>495660.8299422223</v>
      </c>
      <c r="W75" s="3"/>
      <c r="X75" s="3"/>
      <c r="Y75" s="3"/>
      <c r="AB75" s="43"/>
      <c r="AC75" s="82"/>
    </row>
    <row r="76" spans="1:29" s="4" customFormat="1" ht="22.5">
      <c r="A76" s="50">
        <v>2.03</v>
      </c>
      <c r="B76" s="3"/>
      <c r="C76" s="3"/>
      <c r="D76" s="3" t="s">
        <v>68</v>
      </c>
      <c r="E76" s="3" t="s">
        <v>99</v>
      </c>
      <c r="F76" s="64">
        <v>7</v>
      </c>
      <c r="G76" s="57" t="s">
        <v>77</v>
      </c>
      <c r="H76" s="13"/>
      <c r="I76" s="13">
        <f aca="true" t="shared" si="44" ref="I76:I90">F76*H76</f>
        <v>0</v>
      </c>
      <c r="J76" s="13">
        <f t="shared" si="43"/>
        <v>0</v>
      </c>
      <c r="K76" s="13"/>
      <c r="L76" s="13">
        <f aca="true" t="shared" si="45" ref="L76:L90">F76*K76</f>
        <v>0</v>
      </c>
      <c r="M76" s="75">
        <f>378.23*12</f>
        <v>4538.76</v>
      </c>
      <c r="N76" s="13">
        <f aca="true" t="shared" si="46" ref="N76:N90">F76*M76</f>
        <v>31771.32</v>
      </c>
      <c r="O76" s="13"/>
      <c r="P76" s="13">
        <f aca="true" t="shared" si="47" ref="P76:P90">F76*O76</f>
        <v>0</v>
      </c>
      <c r="Q76" s="38"/>
      <c r="R76" s="13">
        <f aca="true" t="shared" si="48" ref="R76:R90">(J76+L76+N76+P76)*Q76</f>
        <v>0</v>
      </c>
      <c r="S76" s="13">
        <f aca="true" t="shared" si="49" ref="S76:S90">J76+L76+N76+P76+R76</f>
        <v>31771.32</v>
      </c>
      <c r="T76" s="38">
        <v>0.25</v>
      </c>
      <c r="U76" s="13">
        <f aca="true" t="shared" si="50" ref="U76:U90">S76*T76</f>
        <v>7942.83</v>
      </c>
      <c r="V76" s="13">
        <f aca="true" t="shared" si="51" ref="V76:V90">S76+U76</f>
        <v>39714.15</v>
      </c>
      <c r="W76" s="3"/>
      <c r="X76" s="3"/>
      <c r="Y76" s="3"/>
      <c r="AB76" s="43"/>
      <c r="AC76" s="82"/>
    </row>
    <row r="77" spans="1:29" s="4" customFormat="1" ht="11.25">
      <c r="A77" s="50">
        <v>2.04</v>
      </c>
      <c r="B77" s="3"/>
      <c r="C77" s="3"/>
      <c r="D77" s="3" t="s">
        <v>124</v>
      </c>
      <c r="E77" s="3" t="s">
        <v>125</v>
      </c>
      <c r="F77" s="64">
        <f>5*30.4</f>
        <v>152</v>
      </c>
      <c r="G77" s="57" t="s">
        <v>77</v>
      </c>
      <c r="H77" s="13"/>
      <c r="I77" s="13">
        <f t="shared" si="44"/>
        <v>0</v>
      </c>
      <c r="J77" s="13">
        <f t="shared" si="43"/>
        <v>0</v>
      </c>
      <c r="K77" s="13"/>
      <c r="L77" s="13">
        <f t="shared" si="45"/>
        <v>0</v>
      </c>
      <c r="M77" s="65">
        <f>223.1*12</f>
        <v>2677.2</v>
      </c>
      <c r="N77" s="13">
        <f t="shared" si="46"/>
        <v>406934.39999999997</v>
      </c>
      <c r="O77" s="13"/>
      <c r="P77" s="13">
        <f t="shared" si="47"/>
        <v>0</v>
      </c>
      <c r="Q77" s="38"/>
      <c r="R77" s="13">
        <f t="shared" si="48"/>
        <v>0</v>
      </c>
      <c r="S77" s="13">
        <f t="shared" si="49"/>
        <v>406934.39999999997</v>
      </c>
      <c r="T77" s="38">
        <v>0.25</v>
      </c>
      <c r="U77" s="13">
        <f t="shared" si="50"/>
        <v>101733.59999999999</v>
      </c>
      <c r="V77" s="13">
        <f t="shared" si="51"/>
        <v>508667.99999999994</v>
      </c>
      <c r="W77" s="3"/>
      <c r="X77" s="3"/>
      <c r="Y77" s="3"/>
      <c r="AB77" s="43"/>
      <c r="AC77" s="82"/>
    </row>
    <row r="78" spans="1:29" s="4" customFormat="1" ht="22.5">
      <c r="A78" s="50">
        <v>2.05</v>
      </c>
      <c r="B78" s="3"/>
      <c r="C78" s="3"/>
      <c r="D78" s="3" t="s">
        <v>47</v>
      </c>
      <c r="E78" s="3" t="s">
        <v>104</v>
      </c>
      <c r="F78" s="64"/>
      <c r="G78" s="2"/>
      <c r="H78" s="13"/>
      <c r="I78" s="13">
        <f t="shared" si="44"/>
        <v>0</v>
      </c>
      <c r="J78" s="13">
        <f t="shared" si="43"/>
        <v>0</v>
      </c>
      <c r="K78" s="13"/>
      <c r="L78" s="13">
        <f t="shared" si="45"/>
        <v>0</v>
      </c>
      <c r="M78" s="13"/>
      <c r="N78" s="13">
        <f t="shared" si="46"/>
        <v>0</v>
      </c>
      <c r="O78" s="13"/>
      <c r="P78" s="13">
        <f t="shared" si="47"/>
        <v>0</v>
      </c>
      <c r="Q78" s="38"/>
      <c r="R78" s="13">
        <f t="shared" si="48"/>
        <v>0</v>
      </c>
      <c r="S78" s="13">
        <f t="shared" si="49"/>
        <v>0</v>
      </c>
      <c r="T78" s="38"/>
      <c r="U78" s="13">
        <f t="shared" si="50"/>
        <v>0</v>
      </c>
      <c r="V78" s="13">
        <f t="shared" si="51"/>
        <v>0</v>
      </c>
      <c r="W78" s="3"/>
      <c r="X78" s="3"/>
      <c r="Y78" s="3"/>
      <c r="AB78" s="43"/>
      <c r="AC78" s="82"/>
    </row>
    <row r="79" spans="1:29" s="4" customFormat="1" ht="11.25">
      <c r="A79" s="50">
        <v>2.06</v>
      </c>
      <c r="B79" s="3"/>
      <c r="C79" s="3"/>
      <c r="D79" s="3" t="s">
        <v>48</v>
      </c>
      <c r="E79" s="3" t="s">
        <v>104</v>
      </c>
      <c r="F79" s="64"/>
      <c r="G79" s="2"/>
      <c r="H79" s="13"/>
      <c r="I79" s="13">
        <f t="shared" si="44"/>
        <v>0</v>
      </c>
      <c r="J79" s="13">
        <f t="shared" si="43"/>
        <v>0</v>
      </c>
      <c r="K79" s="13"/>
      <c r="L79" s="13">
        <f t="shared" si="45"/>
        <v>0</v>
      </c>
      <c r="M79" s="13"/>
      <c r="N79" s="13">
        <f t="shared" si="46"/>
        <v>0</v>
      </c>
      <c r="O79" s="13"/>
      <c r="P79" s="13">
        <f t="shared" si="47"/>
        <v>0</v>
      </c>
      <c r="Q79" s="38"/>
      <c r="R79" s="13">
        <f t="shared" si="48"/>
        <v>0</v>
      </c>
      <c r="S79" s="13">
        <f t="shared" si="49"/>
        <v>0</v>
      </c>
      <c r="T79" s="38"/>
      <c r="U79" s="13">
        <f t="shared" si="50"/>
        <v>0</v>
      </c>
      <c r="V79" s="13">
        <f t="shared" si="51"/>
        <v>0</v>
      </c>
      <c r="W79" s="3"/>
      <c r="X79" s="3"/>
      <c r="Y79" s="3"/>
      <c r="AB79" s="43"/>
      <c r="AC79" s="82"/>
    </row>
    <row r="80" spans="1:29" s="4" customFormat="1" ht="11.25">
      <c r="A80" s="50">
        <v>2.07</v>
      </c>
      <c r="B80" s="3"/>
      <c r="C80" s="3"/>
      <c r="D80" s="3" t="s">
        <v>49</v>
      </c>
      <c r="E80" s="3" t="s">
        <v>104</v>
      </c>
      <c r="F80" s="64"/>
      <c r="G80" s="2"/>
      <c r="H80" s="13"/>
      <c r="I80" s="13">
        <f t="shared" si="44"/>
        <v>0</v>
      </c>
      <c r="J80" s="13">
        <f t="shared" si="43"/>
        <v>0</v>
      </c>
      <c r="K80" s="13"/>
      <c r="L80" s="13">
        <f t="shared" si="45"/>
        <v>0</v>
      </c>
      <c r="M80" s="13"/>
      <c r="N80" s="13">
        <f t="shared" si="46"/>
        <v>0</v>
      </c>
      <c r="O80" s="13"/>
      <c r="P80" s="13">
        <f t="shared" si="47"/>
        <v>0</v>
      </c>
      <c r="Q80" s="38"/>
      <c r="R80" s="13">
        <f t="shared" si="48"/>
        <v>0</v>
      </c>
      <c r="S80" s="13">
        <f t="shared" si="49"/>
        <v>0</v>
      </c>
      <c r="T80" s="38"/>
      <c r="U80" s="13">
        <f t="shared" si="50"/>
        <v>0</v>
      </c>
      <c r="V80" s="13">
        <f t="shared" si="51"/>
        <v>0</v>
      </c>
      <c r="W80" s="3"/>
      <c r="X80" s="3"/>
      <c r="Y80" s="3"/>
      <c r="AB80" s="43"/>
      <c r="AC80" s="82"/>
    </row>
    <row r="81" spans="1:29" s="4" customFormat="1" ht="49.5" customHeight="1">
      <c r="A81" s="50">
        <v>2.08</v>
      </c>
      <c r="B81" s="3"/>
      <c r="C81" s="3"/>
      <c r="D81" s="3" t="s">
        <v>50</v>
      </c>
      <c r="E81" s="3" t="s">
        <v>100</v>
      </c>
      <c r="F81" s="64">
        <f>50*3.75*2</f>
        <v>375</v>
      </c>
      <c r="G81" s="57" t="s">
        <v>93</v>
      </c>
      <c r="H81" s="13"/>
      <c r="I81" s="13">
        <f>F81*H81</f>
        <v>0</v>
      </c>
      <c r="J81" s="13">
        <f t="shared" si="43"/>
        <v>0</v>
      </c>
      <c r="K81" s="13"/>
      <c r="L81" s="13">
        <f>F81*K81</f>
        <v>0</v>
      </c>
      <c r="M81" s="62">
        <f>984+(2*80)</f>
        <v>1144</v>
      </c>
      <c r="N81" s="13">
        <f>F81*M81</f>
        <v>429000</v>
      </c>
      <c r="O81" s="13"/>
      <c r="P81" s="13">
        <f>F81*O81</f>
        <v>0</v>
      </c>
      <c r="Q81" s="38"/>
      <c r="R81" s="13">
        <f>(J81+L81+N81+P81)*Q81</f>
        <v>0</v>
      </c>
      <c r="S81" s="13">
        <f>J81+L81+N81+P81+R81</f>
        <v>429000</v>
      </c>
      <c r="T81" s="38">
        <v>0.25</v>
      </c>
      <c r="U81" s="13">
        <f>S81*T81</f>
        <v>107250</v>
      </c>
      <c r="V81" s="13">
        <f>S81+U81</f>
        <v>536250</v>
      </c>
      <c r="W81" s="3"/>
      <c r="X81" s="3"/>
      <c r="Y81" s="3"/>
      <c r="AB81" s="43"/>
      <c r="AC81" s="82"/>
    </row>
    <row r="82" spans="1:29" s="4" customFormat="1" ht="11.25">
      <c r="A82" s="50">
        <v>2.09</v>
      </c>
      <c r="B82" s="3"/>
      <c r="C82" s="3"/>
      <c r="D82" s="3" t="s">
        <v>51</v>
      </c>
      <c r="E82" s="3" t="s">
        <v>104</v>
      </c>
      <c r="F82" s="64"/>
      <c r="G82" s="2"/>
      <c r="H82" s="13"/>
      <c r="I82" s="13">
        <f>F82*H82</f>
        <v>0</v>
      </c>
      <c r="J82" s="13">
        <f t="shared" si="43"/>
        <v>0</v>
      </c>
      <c r="K82" s="13"/>
      <c r="L82" s="13">
        <f>F82*K82</f>
        <v>0</v>
      </c>
      <c r="M82" s="13"/>
      <c r="N82" s="13">
        <f>F82*M82</f>
        <v>0</v>
      </c>
      <c r="O82" s="13"/>
      <c r="P82" s="13">
        <f>F82*O82</f>
        <v>0</v>
      </c>
      <c r="Q82" s="38"/>
      <c r="R82" s="13">
        <f>(J82+L82+N82+P82)*Q82</f>
        <v>0</v>
      </c>
      <c r="S82" s="13">
        <f>J82+L82+N82+P82+R82</f>
        <v>0</v>
      </c>
      <c r="T82" s="38"/>
      <c r="U82" s="13">
        <f>S82*T82</f>
        <v>0</v>
      </c>
      <c r="V82" s="13">
        <f>S82+U82</f>
        <v>0</v>
      </c>
      <c r="W82" s="3"/>
      <c r="X82" s="3"/>
      <c r="Y82" s="3"/>
      <c r="AB82" s="43"/>
      <c r="AC82" s="82"/>
    </row>
    <row r="83" spans="1:29" s="4" customFormat="1" ht="11.25">
      <c r="A83" s="50">
        <v>2.1</v>
      </c>
      <c r="B83" s="3"/>
      <c r="C83" s="3"/>
      <c r="D83" s="3" t="s">
        <v>52</v>
      </c>
      <c r="E83" s="3" t="s">
        <v>123</v>
      </c>
      <c r="F83" s="64">
        <f>6+3</f>
        <v>9</v>
      </c>
      <c r="G83" s="57" t="s">
        <v>128</v>
      </c>
      <c r="H83" s="13"/>
      <c r="I83" s="13">
        <f>F83*H83</f>
        <v>0</v>
      </c>
      <c r="J83" s="13">
        <f t="shared" si="43"/>
        <v>0</v>
      </c>
      <c r="K83" s="13"/>
      <c r="L83" s="13">
        <f>F83*K83</f>
        <v>0</v>
      </c>
      <c r="M83" s="62">
        <v>9361.68</v>
      </c>
      <c r="N83" s="13">
        <f>F83*M83</f>
        <v>84255.12</v>
      </c>
      <c r="O83" s="13"/>
      <c r="P83" s="13">
        <f>F83*O83</f>
        <v>0</v>
      </c>
      <c r="Q83" s="38"/>
      <c r="R83" s="13">
        <f>(J83+L83+N83+P83)*Q83</f>
        <v>0</v>
      </c>
      <c r="S83" s="13">
        <f>J83+L83+N83+P83+R83</f>
        <v>84255.12</v>
      </c>
      <c r="T83" s="38">
        <v>0.25</v>
      </c>
      <c r="U83" s="13">
        <f>S83*T83</f>
        <v>21063.78</v>
      </c>
      <c r="V83" s="13">
        <f>S83+U83</f>
        <v>105318.9</v>
      </c>
      <c r="W83" s="3"/>
      <c r="X83" s="3"/>
      <c r="Y83" s="3"/>
      <c r="AB83" s="43"/>
      <c r="AC83" s="82"/>
    </row>
    <row r="84" spans="1:29" s="4" customFormat="1" ht="11.25">
      <c r="A84" s="50">
        <v>2.11</v>
      </c>
      <c r="B84" s="3"/>
      <c r="C84" s="3"/>
      <c r="D84" s="3" t="s">
        <v>53</v>
      </c>
      <c r="E84" s="3" t="s">
        <v>104</v>
      </c>
      <c r="F84" s="64"/>
      <c r="G84" s="2"/>
      <c r="H84" s="13"/>
      <c r="I84" s="13">
        <f>F84*H84</f>
        <v>0</v>
      </c>
      <c r="J84" s="13">
        <f t="shared" si="43"/>
        <v>0</v>
      </c>
      <c r="K84" s="13"/>
      <c r="L84" s="13">
        <f>F84*K84</f>
        <v>0</v>
      </c>
      <c r="M84" s="13"/>
      <c r="N84" s="13">
        <f>F84*M84</f>
        <v>0</v>
      </c>
      <c r="O84" s="13"/>
      <c r="P84" s="13">
        <f>F84*O84</f>
        <v>0</v>
      </c>
      <c r="Q84" s="38"/>
      <c r="R84" s="13">
        <f>(J84+L84+N84+P84)*Q84</f>
        <v>0</v>
      </c>
      <c r="S84" s="13">
        <f>J84+L84+N84+P84+R84</f>
        <v>0</v>
      </c>
      <c r="T84" s="38"/>
      <c r="U84" s="13">
        <f>S84*T84</f>
        <v>0</v>
      </c>
      <c r="V84" s="13">
        <f>S84+U84</f>
        <v>0</v>
      </c>
      <c r="W84" s="3"/>
      <c r="X84" s="3"/>
      <c r="Y84" s="3"/>
      <c r="AB84" s="43"/>
      <c r="AC84" s="82"/>
    </row>
    <row r="85" spans="1:29" s="4" customFormat="1" ht="11.25">
      <c r="A85" s="50">
        <v>2.12</v>
      </c>
      <c r="B85" s="3"/>
      <c r="C85" s="3"/>
      <c r="D85" s="3" t="s">
        <v>54</v>
      </c>
      <c r="E85" s="3" t="s">
        <v>104</v>
      </c>
      <c r="F85" s="64"/>
      <c r="G85" s="2"/>
      <c r="H85" s="13"/>
      <c r="I85" s="13">
        <f>F85*H85</f>
        <v>0</v>
      </c>
      <c r="J85" s="13">
        <f t="shared" si="43"/>
        <v>0</v>
      </c>
      <c r="K85" s="13"/>
      <c r="L85" s="13">
        <f>F85*K85</f>
        <v>0</v>
      </c>
      <c r="M85" s="13"/>
      <c r="N85" s="13">
        <f>F85*M85</f>
        <v>0</v>
      </c>
      <c r="O85" s="13"/>
      <c r="P85" s="13">
        <f>F85*O85</f>
        <v>0</v>
      </c>
      <c r="Q85" s="38"/>
      <c r="R85" s="13">
        <f>(J85+L85+N85+P85)*Q85</f>
        <v>0</v>
      </c>
      <c r="S85" s="13">
        <f>J85+L85+N85+P85+R85</f>
        <v>0</v>
      </c>
      <c r="T85" s="38"/>
      <c r="U85" s="13">
        <f>S85*T85</f>
        <v>0</v>
      </c>
      <c r="V85" s="13">
        <f>S85+U85</f>
        <v>0</v>
      </c>
      <c r="W85" s="3"/>
      <c r="X85" s="3"/>
      <c r="Y85" s="3"/>
      <c r="AB85" s="43"/>
      <c r="AC85" s="82"/>
    </row>
    <row r="86" spans="1:29" s="4" customFormat="1" ht="11.25">
      <c r="A86" s="50">
        <v>2.13</v>
      </c>
      <c r="B86" s="3"/>
      <c r="C86" s="3"/>
      <c r="D86" s="3" t="s">
        <v>55</v>
      </c>
      <c r="E86" s="3" t="s">
        <v>104</v>
      </c>
      <c r="F86" s="64"/>
      <c r="G86" s="2"/>
      <c r="H86" s="13"/>
      <c r="I86" s="13">
        <f t="shared" si="44"/>
        <v>0</v>
      </c>
      <c r="J86" s="13">
        <f t="shared" si="43"/>
        <v>0</v>
      </c>
      <c r="K86" s="13"/>
      <c r="L86" s="13">
        <f t="shared" si="45"/>
        <v>0</v>
      </c>
      <c r="M86" s="13"/>
      <c r="N86" s="13">
        <f t="shared" si="46"/>
        <v>0</v>
      </c>
      <c r="O86" s="13"/>
      <c r="P86" s="13">
        <f t="shared" si="47"/>
        <v>0</v>
      </c>
      <c r="Q86" s="38"/>
      <c r="R86" s="13">
        <f t="shared" si="48"/>
        <v>0</v>
      </c>
      <c r="S86" s="13">
        <f t="shared" si="49"/>
        <v>0</v>
      </c>
      <c r="T86" s="38"/>
      <c r="U86" s="13">
        <f t="shared" si="50"/>
        <v>0</v>
      </c>
      <c r="V86" s="13">
        <f t="shared" si="51"/>
        <v>0</v>
      </c>
      <c r="W86" s="3"/>
      <c r="X86" s="3"/>
      <c r="Y86" s="3"/>
      <c r="AB86" s="43"/>
      <c r="AC86" s="82"/>
    </row>
    <row r="87" spans="1:29" s="4" customFormat="1" ht="22.5">
      <c r="A87" s="50">
        <v>2.14</v>
      </c>
      <c r="B87" s="3"/>
      <c r="C87" s="3"/>
      <c r="D87" s="3" t="s">
        <v>56</v>
      </c>
      <c r="E87" s="3"/>
      <c r="F87" s="66">
        <v>0.02</v>
      </c>
      <c r="G87" s="57"/>
      <c r="H87" s="13"/>
      <c r="I87" s="13">
        <f t="shared" si="44"/>
        <v>0</v>
      </c>
      <c r="J87" s="13">
        <f t="shared" si="43"/>
        <v>0</v>
      </c>
      <c r="K87" s="13"/>
      <c r="L87" s="13">
        <f t="shared" si="45"/>
        <v>0</v>
      </c>
      <c r="M87" s="62">
        <f>S70</f>
        <v>13217622.131792594</v>
      </c>
      <c r="N87" s="13">
        <f t="shared" si="46"/>
        <v>264352.44263585185</v>
      </c>
      <c r="O87" s="13"/>
      <c r="P87" s="13">
        <f t="shared" si="47"/>
        <v>0</v>
      </c>
      <c r="Q87" s="38"/>
      <c r="R87" s="13">
        <f t="shared" si="48"/>
        <v>0</v>
      </c>
      <c r="S87" s="13">
        <f t="shared" si="49"/>
        <v>264352.44263585185</v>
      </c>
      <c r="T87" s="38">
        <v>0.25</v>
      </c>
      <c r="U87" s="13">
        <f t="shared" si="50"/>
        <v>66088.11065896296</v>
      </c>
      <c r="V87" s="13">
        <f t="shared" si="51"/>
        <v>330440.55329481483</v>
      </c>
      <c r="W87" s="3"/>
      <c r="X87" s="3"/>
      <c r="Y87" s="3"/>
      <c r="AB87" s="43"/>
      <c r="AC87" s="82"/>
    </row>
    <row r="88" spans="1:29" s="4" customFormat="1" ht="22.5">
      <c r="A88" s="50">
        <v>2.15</v>
      </c>
      <c r="B88" s="3"/>
      <c r="C88" s="3"/>
      <c r="D88" s="3" t="s">
        <v>63</v>
      </c>
      <c r="E88" s="3"/>
      <c r="F88" s="66">
        <v>0.04</v>
      </c>
      <c r="G88" s="2"/>
      <c r="H88" s="13"/>
      <c r="I88" s="13">
        <f t="shared" si="44"/>
        <v>0</v>
      </c>
      <c r="J88" s="13">
        <f t="shared" si="43"/>
        <v>0</v>
      </c>
      <c r="K88" s="13"/>
      <c r="L88" s="13">
        <f t="shared" si="45"/>
        <v>0</v>
      </c>
      <c r="M88" s="62">
        <f>S70</f>
        <v>13217622.131792594</v>
      </c>
      <c r="N88" s="13">
        <f t="shared" si="46"/>
        <v>528704.8852717037</v>
      </c>
      <c r="O88" s="13"/>
      <c r="P88" s="13">
        <f t="shared" si="47"/>
        <v>0</v>
      </c>
      <c r="Q88" s="38"/>
      <c r="R88" s="13">
        <f t="shared" si="48"/>
        <v>0</v>
      </c>
      <c r="S88" s="13">
        <f t="shared" si="49"/>
        <v>528704.8852717037</v>
      </c>
      <c r="T88" s="38">
        <v>0.25</v>
      </c>
      <c r="U88" s="13">
        <f t="shared" si="50"/>
        <v>132176.22131792593</v>
      </c>
      <c r="V88" s="13">
        <f t="shared" si="51"/>
        <v>660881.1065896297</v>
      </c>
      <c r="W88" s="3"/>
      <c r="X88" s="3"/>
      <c r="Y88" s="3"/>
      <c r="AB88" s="43"/>
      <c r="AC88" s="82"/>
    </row>
    <row r="89" spans="1:29" s="4" customFormat="1" ht="11.25">
      <c r="A89" s="50">
        <v>2.16</v>
      </c>
      <c r="B89" s="3"/>
      <c r="C89" s="3"/>
      <c r="D89" s="3" t="s">
        <v>57</v>
      </c>
      <c r="E89" s="3" t="s">
        <v>104</v>
      </c>
      <c r="F89" s="64"/>
      <c r="G89" s="2"/>
      <c r="H89" s="13"/>
      <c r="I89" s="13">
        <f t="shared" si="44"/>
        <v>0</v>
      </c>
      <c r="J89" s="13">
        <f t="shared" si="43"/>
        <v>0</v>
      </c>
      <c r="K89" s="13"/>
      <c r="L89" s="13">
        <f t="shared" si="45"/>
        <v>0</v>
      </c>
      <c r="M89" s="13"/>
      <c r="N89" s="13">
        <f t="shared" si="46"/>
        <v>0</v>
      </c>
      <c r="O89" s="13"/>
      <c r="P89" s="13">
        <f t="shared" si="47"/>
        <v>0</v>
      </c>
      <c r="Q89" s="38"/>
      <c r="R89" s="13">
        <f t="shared" si="48"/>
        <v>0</v>
      </c>
      <c r="S89" s="13">
        <f t="shared" si="49"/>
        <v>0</v>
      </c>
      <c r="T89" s="38"/>
      <c r="U89" s="13">
        <f t="shared" si="50"/>
        <v>0</v>
      </c>
      <c r="V89" s="13">
        <f t="shared" si="51"/>
        <v>0</v>
      </c>
      <c r="W89" s="3"/>
      <c r="X89" s="3"/>
      <c r="Y89" s="3"/>
      <c r="AB89" s="43"/>
      <c r="AC89" s="82"/>
    </row>
    <row r="90" spans="1:29" s="4" customFormat="1" ht="11.25">
      <c r="A90" s="50">
        <v>2.17</v>
      </c>
      <c r="B90" s="3"/>
      <c r="C90" s="3"/>
      <c r="D90" s="3" t="s">
        <v>58</v>
      </c>
      <c r="E90" s="3" t="s">
        <v>104</v>
      </c>
      <c r="F90" s="64"/>
      <c r="G90" s="2"/>
      <c r="H90" s="13"/>
      <c r="I90" s="13">
        <f t="shared" si="44"/>
        <v>0</v>
      </c>
      <c r="J90" s="13">
        <f t="shared" si="43"/>
        <v>0</v>
      </c>
      <c r="K90" s="13"/>
      <c r="L90" s="13">
        <f t="shared" si="45"/>
        <v>0</v>
      </c>
      <c r="M90" s="13"/>
      <c r="N90" s="13">
        <f t="shared" si="46"/>
        <v>0</v>
      </c>
      <c r="O90" s="13"/>
      <c r="P90" s="13">
        <f t="shared" si="47"/>
        <v>0</v>
      </c>
      <c r="Q90" s="38"/>
      <c r="R90" s="13">
        <f t="shared" si="48"/>
        <v>0</v>
      </c>
      <c r="S90" s="13">
        <f t="shared" si="49"/>
        <v>0</v>
      </c>
      <c r="T90" s="38"/>
      <c r="U90" s="13">
        <f t="shared" si="50"/>
        <v>0</v>
      </c>
      <c r="V90" s="13">
        <f t="shared" si="51"/>
        <v>0</v>
      </c>
      <c r="W90" s="3"/>
      <c r="X90" s="3"/>
      <c r="Y90" s="3"/>
      <c r="AB90" s="43"/>
      <c r="AC90" s="82"/>
    </row>
    <row r="91" spans="2:29" s="14" customFormat="1" ht="24.75" customHeight="1">
      <c r="B91" s="122" t="s">
        <v>39</v>
      </c>
      <c r="C91" s="123"/>
      <c r="D91" s="123"/>
      <c r="E91" s="123"/>
      <c r="F91" s="123"/>
      <c r="G91" s="123"/>
      <c r="H91" s="124"/>
      <c r="I91" s="36">
        <f>SUM(I74:I90)</f>
        <v>0</v>
      </c>
      <c r="J91" s="36">
        <f>SUM(J74:J90)</f>
        <v>0</v>
      </c>
      <c r="K91" s="35"/>
      <c r="L91" s="36">
        <f>SUM(L74:L90)</f>
        <v>0</v>
      </c>
      <c r="M91" s="35"/>
      <c r="N91" s="36">
        <f>SUM(N74:N90)</f>
        <v>6585384.631861334</v>
      </c>
      <c r="O91" s="35"/>
      <c r="P91" s="36">
        <f>SUM(P74:P90)</f>
        <v>0</v>
      </c>
      <c r="Q91" s="41">
        <f>R91/S91</f>
        <v>0</v>
      </c>
      <c r="R91" s="36">
        <f>SUM(R74:R90)</f>
        <v>0</v>
      </c>
      <c r="S91" s="36">
        <f>SUM(S74:S90)</f>
        <v>6585384.631861334</v>
      </c>
      <c r="T91" s="41">
        <f>U91/S91</f>
        <v>0.25</v>
      </c>
      <c r="U91" s="36">
        <f>SUM(U74:U90)</f>
        <v>1646346.1579653334</v>
      </c>
      <c r="V91" s="36">
        <f>SUM(V74:V90)</f>
        <v>8231730.789826668</v>
      </c>
      <c r="W91" s="4"/>
      <c r="X91" s="4"/>
      <c r="Y91" s="4"/>
      <c r="AA91" s="4"/>
      <c r="AB91" s="43"/>
      <c r="AC91" s="82"/>
    </row>
    <row r="92" spans="2:29" s="4" customFormat="1" ht="4.5" customHeight="1">
      <c r="B92" s="45"/>
      <c r="C92" s="45"/>
      <c r="D92" s="45"/>
      <c r="E92" s="45"/>
      <c r="F92" s="46"/>
      <c r="G92" s="61"/>
      <c r="H92" s="46"/>
      <c r="I92" s="46"/>
      <c r="J92" s="46"/>
      <c r="K92" s="46"/>
      <c r="L92" s="46"/>
      <c r="M92" s="46"/>
      <c r="N92" s="46"/>
      <c r="O92" s="46"/>
      <c r="P92" s="46"/>
      <c r="Q92" s="47"/>
      <c r="R92" s="46"/>
      <c r="S92" s="46"/>
      <c r="T92" s="47"/>
      <c r="U92" s="46"/>
      <c r="V92" s="46"/>
      <c r="W92" s="45"/>
      <c r="X92" s="45"/>
      <c r="Y92" s="45"/>
      <c r="AB92" s="43"/>
      <c r="AC92" s="82"/>
    </row>
    <row r="93" spans="2:29" s="4" customFormat="1" ht="11.25">
      <c r="B93" s="49" t="s">
        <v>40</v>
      </c>
      <c r="C93" s="45"/>
      <c r="D93" s="45"/>
      <c r="E93" s="45"/>
      <c r="F93" s="46"/>
      <c r="G93" s="61"/>
      <c r="H93" s="46"/>
      <c r="I93" s="46"/>
      <c r="J93" s="46"/>
      <c r="K93" s="46"/>
      <c r="L93" s="46"/>
      <c r="M93" s="46"/>
      <c r="N93" s="46"/>
      <c r="O93" s="46"/>
      <c r="P93" s="46"/>
      <c r="Q93" s="47"/>
      <c r="R93" s="46"/>
      <c r="S93" s="46"/>
      <c r="T93" s="47"/>
      <c r="U93" s="46"/>
      <c r="V93" s="46"/>
      <c r="W93" s="45"/>
      <c r="X93" s="45"/>
      <c r="Y93" s="45"/>
      <c r="AB93" s="43"/>
      <c r="AC93" s="82"/>
    </row>
    <row r="94" spans="2:29" s="4" customFormat="1" ht="4.5" customHeight="1">
      <c r="B94" s="45"/>
      <c r="C94" s="45"/>
      <c r="D94" s="45"/>
      <c r="E94" s="45"/>
      <c r="F94" s="46"/>
      <c r="G94" s="61"/>
      <c r="H94" s="46"/>
      <c r="I94" s="46"/>
      <c r="J94" s="46"/>
      <c r="K94" s="46"/>
      <c r="L94" s="46"/>
      <c r="M94" s="46"/>
      <c r="N94" s="46"/>
      <c r="O94" s="46"/>
      <c r="P94" s="46"/>
      <c r="Q94" s="47"/>
      <c r="R94" s="46"/>
      <c r="S94" s="46"/>
      <c r="T94" s="47"/>
      <c r="U94" s="46"/>
      <c r="V94" s="46"/>
      <c r="W94" s="45"/>
      <c r="X94" s="45"/>
      <c r="Y94" s="45"/>
      <c r="AA94" s="14"/>
      <c r="AB94" s="79"/>
      <c r="AC94" s="82"/>
    </row>
    <row r="95" spans="1:29" s="4" customFormat="1" ht="11.25">
      <c r="A95" s="50">
        <v>3.01</v>
      </c>
      <c r="B95" s="3"/>
      <c r="C95" s="3"/>
      <c r="D95" s="3" t="s">
        <v>42</v>
      </c>
      <c r="E95" s="3"/>
      <c r="F95" s="66">
        <v>0.1</v>
      </c>
      <c r="G95" s="2"/>
      <c r="H95" s="13"/>
      <c r="I95" s="13">
        <f>F95*H95</f>
        <v>0</v>
      </c>
      <c r="J95" s="13">
        <f>I95*$L$8</f>
        <v>0</v>
      </c>
      <c r="K95" s="13"/>
      <c r="L95" s="13">
        <f>F95*K95</f>
        <v>0</v>
      </c>
      <c r="M95" s="65">
        <f>S70+S91</f>
        <v>19803006.763653927</v>
      </c>
      <c r="N95" s="13">
        <f>F95*M95</f>
        <v>1980300.6763653927</v>
      </c>
      <c r="O95" s="13"/>
      <c r="P95" s="13">
        <f>F95*O95</f>
        <v>0</v>
      </c>
      <c r="Q95" s="38"/>
      <c r="R95" s="13">
        <f>(J95+L95+N95+P95)*Q95</f>
        <v>0</v>
      </c>
      <c r="S95" s="13">
        <f>J95+L95+N95+P95+R95</f>
        <v>1980300.6763653927</v>
      </c>
      <c r="T95" s="38">
        <v>0.25</v>
      </c>
      <c r="U95" s="13">
        <f>S95*T95</f>
        <v>495075.1690913482</v>
      </c>
      <c r="V95" s="13">
        <f>S95+U95</f>
        <v>2475375.845456741</v>
      </c>
      <c r="W95" s="3"/>
      <c r="X95" s="3"/>
      <c r="Y95" s="3"/>
      <c r="AB95" s="43"/>
      <c r="AC95" s="82"/>
    </row>
    <row r="96" spans="1:29" s="4" customFormat="1" ht="11.25">
      <c r="A96" s="50">
        <v>3.02</v>
      </c>
      <c r="B96" s="3"/>
      <c r="C96" s="3"/>
      <c r="D96" s="3" t="s">
        <v>32</v>
      </c>
      <c r="E96" s="3"/>
      <c r="F96" s="13"/>
      <c r="G96" s="2"/>
      <c r="H96" s="13"/>
      <c r="I96" s="13">
        <f>F96*H96</f>
        <v>0</v>
      </c>
      <c r="J96" s="13">
        <f>I96*$L$8</f>
        <v>0</v>
      </c>
      <c r="K96" s="13"/>
      <c r="L96" s="13">
        <f>F96*K96</f>
        <v>0</v>
      </c>
      <c r="M96" s="13"/>
      <c r="N96" s="13">
        <f>F96*M96</f>
        <v>0</v>
      </c>
      <c r="O96" s="13"/>
      <c r="P96" s="13">
        <f>F96*O96</f>
        <v>0</v>
      </c>
      <c r="Q96" s="38"/>
      <c r="R96" s="13">
        <f>(J96+L96+N96+P96)*Q96</f>
        <v>0</v>
      </c>
      <c r="S96" s="13">
        <f>J96+L96+N96+P96+R96</f>
        <v>0</v>
      </c>
      <c r="T96" s="38"/>
      <c r="U96" s="13">
        <f>S96*T96</f>
        <v>0</v>
      </c>
      <c r="V96" s="13">
        <f>S96+U96</f>
        <v>0</v>
      </c>
      <c r="W96" s="3"/>
      <c r="X96" s="3"/>
      <c r="Y96" s="3"/>
      <c r="AB96" s="43"/>
      <c r="AC96" s="82"/>
    </row>
    <row r="97" spans="1:29" s="4" customFormat="1" ht="11.25">
      <c r="A97" s="50">
        <v>3.03</v>
      </c>
      <c r="B97" s="3"/>
      <c r="C97" s="3"/>
      <c r="D97" s="3" t="s">
        <v>36</v>
      </c>
      <c r="E97" s="3"/>
      <c r="F97" s="13"/>
      <c r="G97" s="2"/>
      <c r="H97" s="13"/>
      <c r="I97" s="13">
        <f>F97*H97</f>
        <v>0</v>
      </c>
      <c r="J97" s="13">
        <f>I97*$L$8</f>
        <v>0</v>
      </c>
      <c r="K97" s="13"/>
      <c r="L97" s="13">
        <f>F97*K97</f>
        <v>0</v>
      </c>
      <c r="M97" s="13"/>
      <c r="N97" s="13">
        <f>F97*M97</f>
        <v>0</v>
      </c>
      <c r="O97" s="13"/>
      <c r="P97" s="13">
        <f>F97*O97</f>
        <v>0</v>
      </c>
      <c r="Q97" s="38"/>
      <c r="R97" s="13">
        <f>(J97+L97+N97+P97)*Q97</f>
        <v>0</v>
      </c>
      <c r="S97" s="13">
        <f>J97+L97+N97+P97+R97</f>
        <v>0</v>
      </c>
      <c r="T97" s="38"/>
      <c r="U97" s="13">
        <f>S97*T97</f>
        <v>0</v>
      </c>
      <c r="V97" s="13">
        <f>S97+U97</f>
        <v>0</v>
      </c>
      <c r="W97" s="3"/>
      <c r="X97" s="3"/>
      <c r="Y97" s="3"/>
      <c r="AB97" s="43"/>
      <c r="AC97" s="82"/>
    </row>
    <row r="98" spans="2:29" s="14" customFormat="1" ht="24.75" customHeight="1">
      <c r="B98" s="122" t="s">
        <v>41</v>
      </c>
      <c r="C98" s="123"/>
      <c r="D98" s="123"/>
      <c r="E98" s="123"/>
      <c r="F98" s="123"/>
      <c r="G98" s="123"/>
      <c r="H98" s="124"/>
      <c r="I98" s="36">
        <f>SUM(I95:I97)</f>
        <v>0</v>
      </c>
      <c r="J98" s="36">
        <f>SUM(J95:J97)</f>
        <v>0</v>
      </c>
      <c r="K98" s="35"/>
      <c r="L98" s="36">
        <f>SUM(L95:L97)</f>
        <v>0</v>
      </c>
      <c r="M98" s="35"/>
      <c r="N98" s="36">
        <f>SUM(N95:N97)</f>
        <v>1980300.6763653927</v>
      </c>
      <c r="O98" s="35"/>
      <c r="P98" s="36">
        <f>SUM(P95:P97)</f>
        <v>0</v>
      </c>
      <c r="Q98" s="41">
        <f>R98/S98</f>
        <v>0</v>
      </c>
      <c r="R98" s="36">
        <f>SUM(R95:R97)</f>
        <v>0</v>
      </c>
      <c r="S98" s="36">
        <f>SUM(S95:S97)</f>
        <v>1980300.6763653927</v>
      </c>
      <c r="T98" s="41">
        <f>U98/S98</f>
        <v>0.25</v>
      </c>
      <c r="U98" s="36">
        <f>SUM(U95:U97)</f>
        <v>495075.1690913482</v>
      </c>
      <c r="V98" s="36">
        <f>SUM(V95:V97)</f>
        <v>2475375.845456741</v>
      </c>
      <c r="W98" s="4"/>
      <c r="X98" s="4"/>
      <c r="Y98" s="4"/>
      <c r="AA98" s="4"/>
      <c r="AB98" s="84"/>
      <c r="AC98" s="82"/>
    </row>
    <row r="99" spans="7:29" s="4" customFormat="1" ht="11.25">
      <c r="G99" s="12"/>
      <c r="AB99" s="43"/>
      <c r="AC99" s="82"/>
    </row>
    <row r="100" spans="2:29" s="14" customFormat="1" ht="24.75" customHeight="1">
      <c r="B100" s="122" t="s">
        <v>44</v>
      </c>
      <c r="C100" s="123"/>
      <c r="D100" s="123"/>
      <c r="E100" s="123"/>
      <c r="F100" s="123"/>
      <c r="G100" s="123"/>
      <c r="H100" s="124"/>
      <c r="I100" s="36"/>
      <c r="J100" s="36"/>
      <c r="K100" s="35"/>
      <c r="L100" s="36"/>
      <c r="M100" s="35"/>
      <c r="N100" s="36"/>
      <c r="O100" s="35"/>
      <c r="P100" s="36"/>
      <c r="Q100" s="41"/>
      <c r="R100" s="36"/>
      <c r="S100" s="36">
        <f>S70+S91+S98</f>
        <v>21783307.44001932</v>
      </c>
      <c r="T100" s="41">
        <f>U100/S100</f>
        <v>0.25</v>
      </c>
      <c r="U100" s="36">
        <f>U70+U91+U98</f>
        <v>5445826.86000483</v>
      </c>
      <c r="V100" s="36">
        <f>V70+V91+V98</f>
        <v>27229134.300024148</v>
      </c>
      <c r="W100" s="4"/>
      <c r="X100" s="4"/>
      <c r="Y100" s="4"/>
      <c r="AB100" s="79"/>
      <c r="AC100" s="83"/>
    </row>
    <row r="101" spans="7:29" s="4" customFormat="1" ht="11.25">
      <c r="G101" s="12"/>
      <c r="AB101" s="43"/>
      <c r="AC101" s="82"/>
    </row>
    <row r="102" spans="7:29" s="4" customFormat="1" ht="11.25">
      <c r="G102" s="12"/>
      <c r="AB102" s="43"/>
      <c r="AC102" s="82"/>
    </row>
    <row r="103" spans="3:29" s="4" customFormat="1" ht="11.25">
      <c r="C103" s="1"/>
      <c r="D103" s="1"/>
      <c r="E103" s="1"/>
      <c r="F103" s="1"/>
      <c r="G103" s="4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Y103" s="1"/>
      <c r="AB103" s="43"/>
      <c r="AC103" s="82"/>
    </row>
    <row r="104" spans="3:29" s="4" customFormat="1" ht="11.25">
      <c r="C104" s="1"/>
      <c r="D104" s="1"/>
      <c r="E104" s="1"/>
      <c r="F104" s="1"/>
      <c r="G104" s="4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Y104" s="1"/>
      <c r="AB104" s="43"/>
      <c r="AC104" s="82"/>
    </row>
    <row r="105" spans="3:29" s="4" customFormat="1" ht="11.25">
      <c r="C105" s="1"/>
      <c r="D105" s="1"/>
      <c r="E105" s="1"/>
      <c r="F105" s="1"/>
      <c r="G105" s="4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Y105" s="1"/>
      <c r="AB105" s="43"/>
      <c r="AC105" s="82"/>
    </row>
    <row r="106" spans="7:29" s="4" customFormat="1" ht="11.25">
      <c r="G106" s="12"/>
      <c r="AB106" s="43"/>
      <c r="AC106" s="82"/>
    </row>
    <row r="107" spans="7:29" s="4" customFormat="1" ht="11.25">
      <c r="G107" s="12"/>
      <c r="AB107" s="43"/>
      <c r="AC107" s="82"/>
    </row>
    <row r="108" spans="7:29" s="4" customFormat="1" ht="11.25">
      <c r="G108" s="12"/>
      <c r="AB108" s="43"/>
      <c r="AC108" s="82"/>
    </row>
    <row r="109" spans="7:29" s="4" customFormat="1" ht="11.25">
      <c r="G109" s="12"/>
      <c r="AB109" s="43"/>
      <c r="AC109" s="82"/>
    </row>
    <row r="110" spans="7:29" s="4" customFormat="1" ht="11.25">
      <c r="G110" s="12"/>
      <c r="AB110" s="43"/>
      <c r="AC110" s="82"/>
    </row>
    <row r="111" spans="7:29" s="4" customFormat="1" ht="11.25">
      <c r="G111" s="12"/>
      <c r="AB111" s="43"/>
      <c r="AC111" s="82"/>
    </row>
    <row r="112" spans="7:29" s="4" customFormat="1" ht="11.25">
      <c r="G112" s="12"/>
      <c r="AB112" s="43"/>
      <c r="AC112" s="82"/>
    </row>
    <row r="113" spans="7:29" s="4" customFormat="1" ht="11.25">
      <c r="G113" s="12"/>
      <c r="AB113" s="43"/>
      <c r="AC113" s="82"/>
    </row>
    <row r="114" spans="7:29" s="4" customFormat="1" ht="11.25">
      <c r="G114" s="12"/>
      <c r="AB114" s="43"/>
      <c r="AC114" s="82"/>
    </row>
    <row r="115" spans="7:29" s="4" customFormat="1" ht="11.25">
      <c r="G115" s="12"/>
      <c r="AB115" s="43"/>
      <c r="AC115" s="82"/>
    </row>
    <row r="116" spans="7:29" s="4" customFormat="1" ht="11.25">
      <c r="G116" s="12"/>
      <c r="AB116" s="43"/>
      <c r="AC116" s="82"/>
    </row>
    <row r="117" spans="7:29" s="4" customFormat="1" ht="11.25">
      <c r="G117" s="12"/>
      <c r="AB117" s="43"/>
      <c r="AC117" s="82"/>
    </row>
    <row r="118" spans="7:29" s="4" customFormat="1" ht="11.25">
      <c r="G118" s="12"/>
      <c r="AB118" s="43"/>
      <c r="AC118" s="82"/>
    </row>
    <row r="119" spans="7:29" s="4" customFormat="1" ht="11.25">
      <c r="G119" s="12"/>
      <c r="AB119" s="43"/>
      <c r="AC119" s="82"/>
    </row>
    <row r="120" spans="7:29" s="4" customFormat="1" ht="11.25">
      <c r="G120" s="12"/>
      <c r="AB120" s="43"/>
      <c r="AC120" s="82"/>
    </row>
    <row r="121" spans="7:29" s="4" customFormat="1" ht="11.25">
      <c r="G121" s="12"/>
      <c r="AB121" s="43"/>
      <c r="AC121" s="82"/>
    </row>
    <row r="122" spans="7:29" s="4" customFormat="1" ht="11.25">
      <c r="G122" s="12"/>
      <c r="AB122" s="43"/>
      <c r="AC122" s="82"/>
    </row>
    <row r="123" spans="7:29" s="4" customFormat="1" ht="11.25">
      <c r="G123" s="12"/>
      <c r="AB123" s="43"/>
      <c r="AC123" s="82"/>
    </row>
    <row r="124" spans="7:29" s="4" customFormat="1" ht="11.25">
      <c r="G124" s="12"/>
      <c r="AB124" s="43"/>
      <c r="AC124" s="82"/>
    </row>
    <row r="125" spans="7:29" s="4" customFormat="1" ht="11.25">
      <c r="G125" s="12"/>
      <c r="AB125" s="43"/>
      <c r="AC125" s="82"/>
    </row>
    <row r="126" spans="7:29" s="4" customFormat="1" ht="11.25">
      <c r="G126" s="12"/>
      <c r="AB126" s="43"/>
      <c r="AC126" s="82"/>
    </row>
    <row r="127" spans="7:29" s="4" customFormat="1" ht="11.25">
      <c r="G127" s="12"/>
      <c r="AB127" s="43"/>
      <c r="AC127" s="82"/>
    </row>
  </sheetData>
  <sheetProtection/>
  <mergeCells count="4">
    <mergeCell ref="B70:H70"/>
    <mergeCell ref="B91:H91"/>
    <mergeCell ref="B98:H98"/>
    <mergeCell ref="B100:H1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ignoredErrors>
    <ignoredError sqref="F5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3"/>
  <sheetViews>
    <sheetView zoomScalePageLayoutView="0" workbookViewId="0" topLeftCell="A1">
      <selection activeCell="D35" sqref="D35:E41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5.16015625" style="0" customWidth="1"/>
  </cols>
  <sheetData>
    <row r="3" spans="2:4" ht="11.25">
      <c r="B3" s="87" t="s">
        <v>161</v>
      </c>
      <c r="C3" s="86"/>
      <c r="D3" s="90"/>
    </row>
    <row r="4" spans="2:4" ht="11.25">
      <c r="B4" s="87" t="s">
        <v>147</v>
      </c>
      <c r="C4" s="87" t="s">
        <v>148</v>
      </c>
      <c r="D4" s="90" t="s">
        <v>160</v>
      </c>
    </row>
    <row r="5" spans="2:4" ht="11.25">
      <c r="B5" s="85" t="s">
        <v>156</v>
      </c>
      <c r="C5" s="86"/>
      <c r="D5" s="91">
        <v>888767.56</v>
      </c>
    </row>
    <row r="6" spans="2:4" ht="11.25">
      <c r="B6" s="85" t="s">
        <v>157</v>
      </c>
      <c r="C6" s="86"/>
      <c r="D6" s="91">
        <v>2239431.9579212563</v>
      </c>
    </row>
    <row r="7" spans="2:4" ht="11.25">
      <c r="B7" s="85" t="s">
        <v>155</v>
      </c>
      <c r="C7" s="86"/>
      <c r="D7" s="91">
        <v>539904</v>
      </c>
    </row>
    <row r="8" spans="2:4" ht="11.25">
      <c r="B8" s="85" t="s">
        <v>150</v>
      </c>
      <c r="C8" s="86"/>
      <c r="D8" s="91">
        <v>1403192.0343000002</v>
      </c>
    </row>
    <row r="9" spans="2:4" ht="11.25">
      <c r="B9" s="85" t="s">
        <v>152</v>
      </c>
      <c r="C9" s="86"/>
      <c r="D9" s="91">
        <v>1337700</v>
      </c>
    </row>
    <row r="10" spans="2:4" ht="11.25">
      <c r="B10" s="85" t="s">
        <v>153</v>
      </c>
      <c r="C10" s="86"/>
      <c r="D10" s="91">
        <v>291352.19</v>
      </c>
    </row>
    <row r="11" spans="2:4" ht="11.25">
      <c r="B11" s="85" t="s">
        <v>151</v>
      </c>
      <c r="C11" s="86"/>
      <c r="D11" s="91">
        <v>293451.33800399996</v>
      </c>
    </row>
    <row r="12" spans="2:4" ht="11.25">
      <c r="B12" s="85" t="s">
        <v>154</v>
      </c>
      <c r="C12" s="86"/>
      <c r="D12" s="91">
        <v>8640</v>
      </c>
    </row>
    <row r="13" spans="2:4" ht="11.25">
      <c r="B13" s="85" t="s">
        <v>149</v>
      </c>
      <c r="C13" s="86"/>
      <c r="D13" s="91">
        <v>273747.65699555556</v>
      </c>
    </row>
    <row r="14" spans="2:4" ht="11.25">
      <c r="B14" s="85" t="s">
        <v>158</v>
      </c>
      <c r="C14" s="86"/>
      <c r="D14" s="91">
        <v>0</v>
      </c>
    </row>
    <row r="15" spans="2:4" ht="11.25">
      <c r="B15" s="88" t="s">
        <v>159</v>
      </c>
      <c r="C15" s="89"/>
      <c r="D15" s="92">
        <v>7276186.737220812</v>
      </c>
    </row>
    <row r="18" spans="2:5" ht="11.25">
      <c r="B18" s="93" t="s">
        <v>161</v>
      </c>
      <c r="C18" s="94"/>
      <c r="D18" s="94"/>
      <c r="E18" s="95"/>
    </row>
    <row r="19" spans="2:5" ht="11.25">
      <c r="B19" s="96"/>
      <c r="C19" s="97" t="s">
        <v>162</v>
      </c>
      <c r="D19" s="98"/>
      <c r="E19" s="97" t="s">
        <v>162</v>
      </c>
    </row>
    <row r="20" spans="2:5" ht="11.25">
      <c r="B20" s="99" t="s">
        <v>147</v>
      </c>
      <c r="C20" s="99" t="s">
        <v>163</v>
      </c>
      <c r="D20" s="100" t="s">
        <v>160</v>
      </c>
      <c r="E20" s="99" t="s">
        <v>164</v>
      </c>
    </row>
    <row r="21" spans="2:5" ht="11.25">
      <c r="B21" s="101" t="s">
        <v>156</v>
      </c>
      <c r="C21" s="101"/>
      <c r="D21" s="102">
        <f>GETPIVOTDATA("labour cost",$B$3,"type of labour","Camp  Op &amp; Maintenance")</f>
        <v>888767.56</v>
      </c>
      <c r="E21" s="103">
        <f aca="true" t="shared" si="0" ref="E21:E29">D21/$D$30</f>
        <v>0.12214743685089517</v>
      </c>
    </row>
    <row r="22" spans="2:5" ht="11.25">
      <c r="B22" s="101" t="s">
        <v>157</v>
      </c>
      <c r="C22" s="101"/>
      <c r="D22" s="102">
        <f>GETPIVOTDATA("labour cost",$B$3,"type of labour","Engineering")</f>
        <v>2239431.9579212563</v>
      </c>
      <c r="E22" s="103">
        <f t="shared" si="0"/>
        <v>0.3077754926856952</v>
      </c>
    </row>
    <row r="23" spans="2:5" ht="11.25">
      <c r="B23" s="101" t="s">
        <v>155</v>
      </c>
      <c r="C23" s="101"/>
      <c r="D23" s="102">
        <f>GETPIVOTDATA("labour cost",$B$3,"type of labour","Equip Maintenance")</f>
        <v>539904</v>
      </c>
      <c r="E23" s="103">
        <f t="shared" si="0"/>
        <v>0.07420150409804077</v>
      </c>
    </row>
    <row r="24" spans="2:5" ht="11.25">
      <c r="B24" s="101" t="s">
        <v>150</v>
      </c>
      <c r="C24" s="101"/>
      <c r="D24" s="102">
        <f>GETPIVOTDATA("labour cost",$B$3,"type of labour","Equip Op")</f>
        <v>1403192.0343000002</v>
      </c>
      <c r="E24" s="103">
        <f t="shared" si="0"/>
        <v>0.19284717187398062</v>
      </c>
    </row>
    <row r="25" spans="2:5" ht="11.25">
      <c r="B25" s="101" t="s">
        <v>152</v>
      </c>
      <c r="C25" s="101"/>
      <c r="D25" s="102">
        <f>GETPIVOTDATA("labour cost",$B$3,"type of labour","Equip Op / Equip Maintenance")</f>
        <v>1337700</v>
      </c>
      <c r="E25" s="103">
        <f t="shared" si="0"/>
        <v>0.1838462986604084</v>
      </c>
    </row>
    <row r="26" spans="2:5" ht="11.25">
      <c r="B26" s="101" t="s">
        <v>153</v>
      </c>
      <c r="C26" s="101"/>
      <c r="D26" s="102">
        <f>GETPIVOTDATA("labour cost",$B$3,"type of labour","Equip Op / Labour")</f>
        <v>291352.19</v>
      </c>
      <c r="E26" s="103">
        <f t="shared" si="0"/>
        <v>0.04004187914936388</v>
      </c>
    </row>
    <row r="27" spans="2:5" ht="11.25">
      <c r="B27" s="101" t="s">
        <v>151</v>
      </c>
      <c r="C27" s="101"/>
      <c r="D27" s="102">
        <f>GETPIVOTDATA("labour cost",$B$3,"type of labour","Equip Op / Welders / Labour")</f>
        <v>293451.33800399996</v>
      </c>
      <c r="E27" s="103">
        <f t="shared" si="0"/>
        <v>0.040330374769365206</v>
      </c>
    </row>
    <row r="28" spans="2:5" ht="11.25">
      <c r="B28" s="101" t="s">
        <v>154</v>
      </c>
      <c r="C28" s="101"/>
      <c r="D28" s="102">
        <f>GETPIVOTDATA("labour cost",$B$3,"type of labour","Labour")</f>
        <v>8640</v>
      </c>
      <c r="E28" s="103">
        <f t="shared" si="0"/>
        <v>0.0011874351651535687</v>
      </c>
    </row>
    <row r="29" spans="2:5" ht="11.25">
      <c r="B29" s="101" t="s">
        <v>149</v>
      </c>
      <c r="C29" s="101"/>
      <c r="D29" s="102">
        <f>GETPIVOTDATA("labour cost",$B$3,"type of labour","Truck Driver")</f>
        <v>273747.65699555556</v>
      </c>
      <c r="E29" s="104">
        <f t="shared" si="0"/>
        <v>0.03762240674709722</v>
      </c>
    </row>
    <row r="30" spans="2:5" ht="11.25">
      <c r="B30" s="93" t="s">
        <v>159</v>
      </c>
      <c r="C30" s="105"/>
      <c r="D30" s="106">
        <f>SUM(D21:D29)</f>
        <v>7276186.737220812</v>
      </c>
      <c r="E30" s="107">
        <f>SUM(E21:E29)</f>
        <v>0.9999999999999999</v>
      </c>
    </row>
    <row r="31" ht="11.25">
      <c r="D31" s="108"/>
    </row>
    <row r="32" ht="11.25">
      <c r="D32" s="108"/>
    </row>
    <row r="33" spans="2:5" ht="11.25">
      <c r="B33" s="93" t="s">
        <v>161</v>
      </c>
      <c r="C33" s="94"/>
      <c r="D33" s="109"/>
      <c r="E33" s="95"/>
    </row>
    <row r="34" spans="2:5" ht="11.25">
      <c r="B34" s="110" t="str">
        <f>B20</f>
        <v>type of labour</v>
      </c>
      <c r="C34" s="94"/>
      <c r="D34" s="111" t="str">
        <f>D20</f>
        <v>Total</v>
      </c>
      <c r="E34" s="112" t="s">
        <v>165</v>
      </c>
    </row>
    <row r="35" spans="2:5" ht="11.25">
      <c r="B35" s="101" t="s">
        <v>150</v>
      </c>
      <c r="C35" s="113"/>
      <c r="D35" s="102">
        <f>D24+(D25*0.6)+(D26*0.5)+(D27*0.4)</f>
        <v>2468868.6645016004</v>
      </c>
      <c r="E35" s="114">
        <f aca="true" t="shared" si="1" ref="E35:E40">D35/$D$41</f>
        <v>0.33930804055265373</v>
      </c>
    </row>
    <row r="36" spans="2:5" ht="11.25">
      <c r="B36" s="101" t="s">
        <v>154</v>
      </c>
      <c r="C36" s="113"/>
      <c r="D36" s="102">
        <f>D28+(D26*0.5)+(D27*0.6)</f>
        <v>330386.89780239994</v>
      </c>
      <c r="E36" s="114">
        <f t="shared" si="1"/>
        <v>0.04540659960145463</v>
      </c>
    </row>
    <row r="37" spans="2:5" ht="11.25">
      <c r="B37" s="101" t="s">
        <v>149</v>
      </c>
      <c r="C37" s="113"/>
      <c r="D37" s="102">
        <f>D29</f>
        <v>273747.65699555556</v>
      </c>
      <c r="E37" s="114">
        <f t="shared" si="1"/>
        <v>0.03762240674709722</v>
      </c>
    </row>
    <row r="38" spans="2:5" ht="11.25">
      <c r="B38" s="101" t="s">
        <v>155</v>
      </c>
      <c r="C38" s="113"/>
      <c r="D38" s="102">
        <f>D23+(D25*0.4)</f>
        <v>1074984</v>
      </c>
      <c r="E38" s="114">
        <f t="shared" si="1"/>
        <v>0.14774002356220414</v>
      </c>
    </row>
    <row r="39" spans="2:5" ht="11.25">
      <c r="B39" s="101" t="s">
        <v>166</v>
      </c>
      <c r="C39" s="113"/>
      <c r="D39" s="102">
        <f>D21</f>
        <v>888767.56</v>
      </c>
      <c r="E39" s="114">
        <f t="shared" si="1"/>
        <v>0.12214743685089517</v>
      </c>
    </row>
    <row r="40" spans="2:5" ht="11.25">
      <c r="B40" s="101" t="s">
        <v>157</v>
      </c>
      <c r="C40" s="113"/>
      <c r="D40" s="102">
        <f>D22</f>
        <v>2239431.9579212563</v>
      </c>
      <c r="E40" s="114">
        <f t="shared" si="1"/>
        <v>0.3077754926856952</v>
      </c>
    </row>
    <row r="41" spans="2:5" ht="11.25">
      <c r="B41" s="105" t="s">
        <v>160</v>
      </c>
      <c r="C41" s="115"/>
      <c r="D41" s="116">
        <f>SUM(D35:D40)</f>
        <v>7276186.737220812</v>
      </c>
      <c r="E41" s="117">
        <f>SUM(E35:E40)</f>
        <v>1</v>
      </c>
    </row>
    <row r="43" ht="11.25">
      <c r="B43" s="118" t="s">
        <v>167</v>
      </c>
    </row>
  </sheetData>
  <sheetProtection/>
  <dataValidations count="1">
    <dataValidation type="list" allowBlank="1" showInputMessage="1" showErrorMessage="1" sqref="B21">
      <formula1>$B$21:$B$29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2013-12-18T20:36:33Z</cp:lastPrinted>
  <dcterms:created xsi:type="dcterms:W3CDTF">1998-12-07T19:56:09Z</dcterms:created>
  <dcterms:modified xsi:type="dcterms:W3CDTF">2014-03-28T18:27:40Z</dcterms:modified>
  <cp:category/>
  <cp:version/>
  <cp:contentType/>
  <cp:contentStatus/>
</cp:coreProperties>
</file>