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Costs'!$B$3:$V$94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<sst xmlns="http://schemas.openxmlformats.org/spreadsheetml/2006/main" count="238" uniqueCount="172">
  <si>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</si>
  <si>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</si>
  <si>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</si>
  <si>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</si>
  <si>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</si>
  <si>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</si>
  <si>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</si>
  <si>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</si>
  <si>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</si>
  <si>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</si>
  <si>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</si>
  <si>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</si>
  <si>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</si>
  <si>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</si>
  <si>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</si>
  <si>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</si>
  <si>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</si>
  <si>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</si>
  <si>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</si>
  <si>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</si>
  <si>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</si>
  <si>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</si>
  <si>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</si>
  <si>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</si>
  <si>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</si>
  <si>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</si>
  <si>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</si>
  <si>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</si>
  <si>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</si>
  <si>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</si>
  <si>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</si>
  <si>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</si>
  <si>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</si>
  <si>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</si>
  <si>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</si>
  <si>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</si>
  <si>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</si>
  <si>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</si>
  <si>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</si>
  <si>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</si>
  <si>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</si>
  <si>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</si>
  <si>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</si>
  <si>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</si>
  <si>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</si>
  <si>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</si>
  <si>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</si>
  <si>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</si>
  <si>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</si>
  <si>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</si>
  <si>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</si>
  <si>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</si>
  <si>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</si>
  <si>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</si>
  <si>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</si>
  <si>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</si>
  <si>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</si>
  <si>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</si>
  <si>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</si>
  <si>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</si>
  <si>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</si>
  <si>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</si>
  <si>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</si>
  <si>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</si>
  <si>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</si>
  <si>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</si>
  <si>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</si>
  <si>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</si>
  <si>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</si>
  <si>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</si>
  <si>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</si>
  <si>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</si>
  <si>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</si>
  <si>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</si>
  <si>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</si>
  <si>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</si>
  <si>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</si>
  <si>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</si>
  <si>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</si>
  <si>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</si>
  <si>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</si>
  <si>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</si>
  <si>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</si>
  <si>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</si>
  <si>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</si>
  <si>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</si>
  <si>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</si>
  <si>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</si>
  <si>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</si>
  <si>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</si>
  <si>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</si>
  <si>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</si>
  <si>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</si>
  <si>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</si>
  <si>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</si>
  <si>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</si>
  <si>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</si>
  <si>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</si>
  <si>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</si>
  <si>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</si>
  <si>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>Gabion baskets (3m lg x 1m dp x 0.5m h)</t>
  </si>
  <si>
    <t>Supply, load, haul, assemble, place</t>
  </si>
  <si>
    <t>EA</t>
  </si>
  <si>
    <t xml:space="preserve">Gabion Rock - 100 to 200 mm dia. </t>
  </si>
  <si>
    <t>Edmonton to Dawson City 2,519km. Dawson City to Site approx 110km.2ea-345, 1ea-D9, 1ea-963, 7ea-40ton rock trucks, 1ea-grader, 1ea-packer.</t>
  </si>
  <si>
    <t>Drill &amp; blast, screen &amp; sort, load &amp; haul to site, double handling and place.</t>
  </si>
  <si>
    <t>Subcontract Costs/Unit ($)</t>
  </si>
  <si>
    <t>Subcontract Total ($)</t>
  </si>
  <si>
    <t>n/a</t>
  </si>
  <si>
    <t xml:space="preserve"> *fuel included in all-in rates.</t>
  </si>
  <si>
    <t>Bulk Earthworks</t>
  </si>
  <si>
    <t>Equip Set 1</t>
  </si>
  <si>
    <t>Channel Armouring</t>
  </si>
  <si>
    <t>Water Diversion</t>
  </si>
  <si>
    <t>Aquadam - supply &amp; install</t>
  </si>
  <si>
    <t>Trench 1.6m dp, BF 1m cover, supply &amp; install.</t>
  </si>
  <si>
    <t>LM</t>
  </si>
  <si>
    <t>6' x 100' lg.</t>
  </si>
  <si>
    <t>HDPE pipe &amp; aquadam.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</si>
  <si>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</si>
  <si>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</si>
  <si>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</si>
  <si>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</si>
  <si>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</si>
  <si>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</si>
  <si>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</si>
  <si>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Waste dump to channel fill</t>
  </si>
  <si>
    <t xml:space="preserve">1ea-D8 &amp; 1ea-345 ex; push top of existing channel to fill channel bed. </t>
  </si>
  <si>
    <t>Waste dump to porcupine pit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</si>
  <si>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</si>
  <si>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</si>
  <si>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</si>
  <si>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</si>
  <si>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</si>
  <si>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</si>
  <si>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</si>
  <si>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</si>
  <si>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Heavy duty mechanic</t>
  </si>
  <si>
    <t>610mm HDPE DR21 pipe</t>
  </si>
  <si>
    <t>Fuel truck &amp; driver</t>
  </si>
  <si>
    <t>50 man temporary camp x 3.25mo.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</si>
  <si>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</si>
  <si>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</si>
  <si>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</si>
  <si>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</si>
  <si>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</si>
  <si>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</si>
  <si>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</si>
  <si>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</si>
  <si>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Equip Op</t>
  </si>
  <si>
    <t>Equip Op / Labour</t>
  </si>
  <si>
    <t>Equip Op / Welders / Labour</t>
  </si>
  <si>
    <t>Equip Op / Equip Maintenance</t>
  </si>
  <si>
    <t>Labour</t>
  </si>
  <si>
    <t>Equip Maintenance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</si>
  <si>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</si>
  <si>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</si>
  <si>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</si>
  <si>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</si>
  <si>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</si>
  <si>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</si>
  <si>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</si>
  <si>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</si>
  <si>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</si>
  <si>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</si>
  <si>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</si>
  <si>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</si>
  <si>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</si>
  <si>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</si>
  <si>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</si>
  <si>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</si>
  <si>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CC-G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</si>
</sst>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9" fontId="26" fillId="0" borderId="0" xfId="101" applyFont="1" applyFill="1" applyAlignment="1">
      <alignment horizontal="center" vertical="center" wrapText="1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vertical="center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/>
    </xf>
    <xf numFmtId="165" fontId="26" fillId="0" borderId="0" xfId="63" applyFont="1" applyFill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0" fontId="26" fillId="46" borderId="19" xfId="0" applyFont="1" applyFill="1" applyBorder="1" applyAlignment="1">
      <alignment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0" fontId="0" fillId="46" borderId="23" xfId="0" applyFill="1" applyBorder="1" applyAlignment="1">
      <alignment/>
    </xf>
    <xf numFmtId="165" fontId="0" fillId="46" borderId="23" xfId="63" applyFont="1" applyFill="1" applyBorder="1" applyAlignment="1">
      <alignment/>
    </xf>
    <xf numFmtId="0" fontId="0" fillId="46" borderId="20" xfId="0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495300</xdr:colOff>
      <xdr:row>2</xdr:row>
      <xdr:rowOff>104775</xdr:rowOff>
    </xdr:from>
    <xdr:to>
      <xdr:col>21</xdr:col>
      <xdr:colOff>771525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44700" y="3905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0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Labour"/>
        <s v="Equip Maintenance"/>
        <s v="Camp  Op &amp; Maintenance"/>
        <s v="Engineering"/>
      </sharedItems>
    </cacheField>
    <cacheField name="% labour">
      <sharedItems containsString="0" containsBlank="1" containsMixedTypes="0" containsNumber="1" count="12">
        <m/>
        <n v="0.35"/>
        <n v="0.33"/>
        <n v="0.26"/>
        <n v="0.48"/>
        <n v="0.5"/>
        <n v="0"/>
        <n v="1"/>
        <n v="0.1"/>
        <n v="0.6"/>
        <n v="0.2"/>
        <n v="0.95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7"/>
        <item sd="0" x="2"/>
        <item sd="0" x="4"/>
        <item sd="0" x="5"/>
        <item sd="0" x="3"/>
        <item sd="0" x="6"/>
        <item sd="0" x="1"/>
        <item sd="0" x="0"/>
      </items>
    </pivotField>
    <pivotField axis="axisRow" compact="0" outline="0" subtotalTop="0" showAll="0" defaultSubtotal="0">
      <items count="12">
        <item x="6"/>
        <item x="8"/>
        <item x="10"/>
        <item x="3"/>
        <item x="2"/>
        <item x="1"/>
        <item x="4"/>
        <item x="5"/>
        <item x="9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G-11032014.xls]Summary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CC-G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Costs'!S64,-3)</f>
        <v>8522000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Costs'!S85,-3)</f>
        <v>3580000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Costs'!S89,-3)</f>
        <v>1210000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Costs'!S90,-3)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Costs'!S91,-3)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13312000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</v>
      </c>
      <c r="E24" s="34">
        <f>ROUND('Detail Costs'!U94,-3)</f>
        <v>3328000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16640000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tabSelected="1" zoomScale="70" zoomScaleNormal="70" zoomScalePageLayoutView="0" workbookViewId="0" topLeftCell="A1">
      <selection activeCell="C99" sqref="C99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5.1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5.5" style="4" customWidth="1"/>
    <col min="25" max="25" width="9.83203125" style="1" customWidth="1"/>
    <col min="26" max="27" width="9.33203125" style="1" customWidth="1"/>
    <col min="28" max="28" width="9.33203125" style="82" customWidth="1"/>
    <col min="29" max="29" width="15.5" style="84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G-11032014.xls]Detail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170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171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8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106</v>
      </c>
      <c r="N10" s="22" t="s">
        <v>107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7"/>
      <c r="AB10" s="78"/>
      <c r="AC10" s="79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0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0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0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9">F14*H14</f>
        <v>0</v>
      </c>
      <c r="J14" s="13">
        <f aca="true" t="shared" si="1" ref="J14:J40">I14*$L$8</f>
        <v>0</v>
      </c>
      <c r="K14" s="13"/>
      <c r="L14" s="13">
        <f aca="true" t="shared" si="2" ref="L14:L39">F14*K14</f>
        <v>0</v>
      </c>
      <c r="M14" s="13"/>
      <c r="N14" s="13">
        <f aca="true" t="shared" si="3" ref="N14:N39">F14*M14</f>
        <v>0</v>
      </c>
      <c r="O14" s="13"/>
      <c r="P14" s="13">
        <f aca="true" t="shared" si="4" ref="P14:P39">F14*O14</f>
        <v>0</v>
      </c>
      <c r="Q14" s="38"/>
      <c r="R14" s="13">
        <f aca="true" t="shared" si="5" ref="R14:R39">(J14+L14+N14+P14)*Q14</f>
        <v>0</v>
      </c>
      <c r="S14" s="13">
        <f aca="true" t="shared" si="6" ref="S14:S39">J14+L14+N14+P14+R14</f>
        <v>0</v>
      </c>
      <c r="T14" s="38"/>
      <c r="U14" s="13">
        <f aca="true" t="shared" si="7" ref="U14:U39">S14*T14</f>
        <v>0</v>
      </c>
      <c r="V14" s="13">
        <f aca="true" t="shared" si="8" ref="V14:V39">S14+U14</f>
        <v>0</v>
      </c>
      <c r="W14" s="3"/>
      <c r="X14" s="3"/>
      <c r="Y14" s="3"/>
      <c r="AB14" s="43"/>
      <c r="AC14" s="80"/>
    </row>
    <row r="15" spans="1:29" s="4" customFormat="1" ht="23.25" customHeight="1">
      <c r="A15" s="50">
        <v>1.02</v>
      </c>
      <c r="B15" s="3"/>
      <c r="C15" s="37"/>
      <c r="D15" s="59" t="s">
        <v>70</v>
      </c>
      <c r="E15" s="73" t="s">
        <v>104</v>
      </c>
      <c r="F15" s="64">
        <v>13</v>
      </c>
      <c r="G15" s="57" t="s">
        <v>102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((13*9361.68)+(0*28763.28))*2/F15</f>
        <v>18723.36</v>
      </c>
      <c r="N15" s="13">
        <f t="shared" si="3"/>
        <v>243403.68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243403.68</v>
      </c>
      <c r="T15" s="38">
        <v>0.25</v>
      </c>
      <c r="U15" s="13">
        <f t="shared" si="7"/>
        <v>60850.92</v>
      </c>
      <c r="V15" s="13">
        <f t="shared" si="8"/>
        <v>304254.6</v>
      </c>
      <c r="W15" s="3"/>
      <c r="X15" s="3"/>
      <c r="Y15" s="3"/>
      <c r="AB15" s="43"/>
      <c r="AC15" s="80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0"/>
    </row>
    <row r="17" spans="1:29" s="4" customFormat="1" ht="11.25">
      <c r="A17" s="50">
        <v>1.04</v>
      </c>
      <c r="B17" s="3"/>
      <c r="C17" s="37"/>
      <c r="D17" s="59" t="s">
        <v>81</v>
      </c>
      <c r="E17" s="37" t="s">
        <v>82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0"/>
    </row>
    <row r="18" spans="1:29" s="4" customFormat="1" ht="11.25">
      <c r="A18" s="50">
        <v>1.05</v>
      </c>
      <c r="B18" s="3"/>
      <c r="C18" s="37"/>
      <c r="D18" s="56" t="s">
        <v>86</v>
      </c>
      <c r="E18" s="37" t="s">
        <v>85</v>
      </c>
      <c r="F18" s="64">
        <v>9</v>
      </c>
      <c r="G18" s="57" t="s">
        <v>83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0"/>
    </row>
    <row r="19" spans="1:29" s="4" customFormat="1" ht="22.5">
      <c r="A19" s="50">
        <v>1.06</v>
      </c>
      <c r="B19" s="3"/>
      <c r="C19" s="37"/>
      <c r="D19" s="56" t="s">
        <v>88</v>
      </c>
      <c r="E19" s="37" t="s">
        <v>90</v>
      </c>
      <c r="F19" s="64">
        <f>4*2*15000</f>
        <v>120000</v>
      </c>
      <c r="G19" s="57" t="s">
        <v>84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0"/>
    </row>
    <row r="20" spans="1:29" s="4" customFormat="1" ht="11.25">
      <c r="A20" s="50">
        <v>1.07</v>
      </c>
      <c r="B20" s="3"/>
      <c r="C20" s="37"/>
      <c r="D20" s="56" t="s">
        <v>87</v>
      </c>
      <c r="E20" s="37" t="s">
        <v>92</v>
      </c>
      <c r="F20" s="64">
        <f>5*15000*0.15</f>
        <v>11250</v>
      </c>
      <c r="G20" s="57" t="s">
        <v>84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0"/>
    </row>
    <row r="21" spans="1:29" s="4" customFormat="1" ht="22.5">
      <c r="A21" s="50">
        <v>1.08</v>
      </c>
      <c r="B21" s="3"/>
      <c r="C21" s="37"/>
      <c r="D21" s="56" t="s">
        <v>91</v>
      </c>
      <c r="E21" s="37" t="s">
        <v>89</v>
      </c>
      <c r="F21" s="64">
        <f>8*15000*0.1</f>
        <v>12000</v>
      </c>
      <c r="G21" s="57" t="s">
        <v>84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37.22+70+39.93+12.57</f>
        <v>159.72</v>
      </c>
      <c r="N21" s="13">
        <f t="shared" si="11"/>
        <v>1916640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1916640</v>
      </c>
      <c r="T21" s="38">
        <v>0.25</v>
      </c>
      <c r="U21" s="13">
        <f t="shared" si="15"/>
        <v>479160</v>
      </c>
      <c r="V21" s="13">
        <f t="shared" si="16"/>
        <v>2395800</v>
      </c>
      <c r="W21" s="3"/>
      <c r="X21" s="3"/>
      <c r="Y21" s="3"/>
      <c r="AB21" s="43"/>
      <c r="AC21" s="80"/>
    </row>
    <row r="22" spans="1:29" s="4" customFormat="1" ht="22.5">
      <c r="A22" s="50">
        <v>1.09</v>
      </c>
      <c r="B22" s="3"/>
      <c r="C22" s="37"/>
      <c r="D22" s="56" t="s">
        <v>122</v>
      </c>
      <c r="E22" s="37" t="s">
        <v>121</v>
      </c>
      <c r="F22" s="64">
        <v>1</v>
      </c>
      <c r="G22" s="57" t="s">
        <v>67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0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0"/>
    </row>
    <row r="24" spans="1:29" s="4" customFormat="1" ht="11.25">
      <c r="A24" s="50">
        <v>1.11</v>
      </c>
      <c r="B24" s="3"/>
      <c r="C24" s="37"/>
      <c r="D24" s="59" t="s">
        <v>110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0"/>
    </row>
    <row r="25" spans="1:29" s="4" customFormat="1" ht="33.75">
      <c r="A25" s="50">
        <v>1.12</v>
      </c>
      <c r="B25" s="3"/>
      <c r="C25" s="37"/>
      <c r="D25" s="56" t="s">
        <v>126</v>
      </c>
      <c r="E25" s="37" t="s">
        <v>127</v>
      </c>
      <c r="F25" s="64">
        <v>25000</v>
      </c>
      <c r="G25" s="57" t="s">
        <v>84</v>
      </c>
      <c r="H25" s="13"/>
      <c r="I25" s="13">
        <f>F25*H25</f>
        <v>0</v>
      </c>
      <c r="J25" s="13">
        <f t="shared" si="1"/>
        <v>0</v>
      </c>
      <c r="K25" s="13"/>
      <c r="L25" s="13">
        <f>F25*K25</f>
        <v>0</v>
      </c>
      <c r="M25" s="62">
        <v>5.22</v>
      </c>
      <c r="N25" s="13">
        <f>F25*M25</f>
        <v>130500</v>
      </c>
      <c r="O25" s="13"/>
      <c r="P25" s="13">
        <f>F25*O25</f>
        <v>0</v>
      </c>
      <c r="Q25" s="38"/>
      <c r="R25" s="13">
        <f>(J25+L25+N25+P25)*Q25</f>
        <v>0</v>
      </c>
      <c r="S25" s="13">
        <f>J25+L25+N25+P25+R25</f>
        <v>130500</v>
      </c>
      <c r="T25" s="38">
        <v>0.25</v>
      </c>
      <c r="U25" s="13">
        <f>S25*T25</f>
        <v>32625</v>
      </c>
      <c r="V25" s="13">
        <f>S25+U25</f>
        <v>163125</v>
      </c>
      <c r="W25" s="3"/>
      <c r="X25" s="3"/>
      <c r="Y25" s="3"/>
      <c r="AB25" s="43"/>
      <c r="AC25" s="80"/>
    </row>
    <row r="26" spans="1:29" s="4" customFormat="1" ht="11.25">
      <c r="A26" s="50">
        <v>1.13</v>
      </c>
      <c r="B26" s="3"/>
      <c r="C26" s="37"/>
      <c r="D26" s="56" t="s">
        <v>128</v>
      </c>
      <c r="E26" s="37" t="s">
        <v>111</v>
      </c>
      <c r="F26" s="64">
        <v>150000</v>
      </c>
      <c r="G26" s="57" t="s">
        <v>84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735000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735000</v>
      </c>
      <c r="T26" s="38">
        <v>0.25</v>
      </c>
      <c r="U26" s="13">
        <f t="shared" si="7"/>
        <v>183750</v>
      </c>
      <c r="V26" s="13">
        <f t="shared" si="8"/>
        <v>918750</v>
      </c>
      <c r="W26" s="3"/>
      <c r="X26" s="3"/>
      <c r="Y26" s="3"/>
      <c r="AB26" s="43"/>
      <c r="AC26" s="80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0"/>
    </row>
    <row r="28" spans="1:29" s="4" customFormat="1" ht="11.25">
      <c r="A28" s="50">
        <v>1.15</v>
      </c>
      <c r="B28" s="3"/>
      <c r="C28" s="37"/>
      <c r="D28" s="59" t="s">
        <v>124</v>
      </c>
      <c r="E28" s="37"/>
      <c r="F28" s="64"/>
      <c r="G28" s="57"/>
      <c r="H28" s="13"/>
      <c r="I28" s="13">
        <f>F28*H28</f>
        <v>0</v>
      </c>
      <c r="J28" s="13">
        <f t="shared" si="1"/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80"/>
    </row>
    <row r="29" spans="1:29" s="4" customFormat="1" ht="22.5">
      <c r="A29" s="50">
        <v>1.16</v>
      </c>
      <c r="B29" s="3"/>
      <c r="C29" s="37"/>
      <c r="D29" s="56" t="s">
        <v>125</v>
      </c>
      <c r="E29" s="37" t="s">
        <v>89</v>
      </c>
      <c r="F29" s="64">
        <v>990</v>
      </c>
      <c r="G29" s="57" t="s">
        <v>84</v>
      </c>
      <c r="H29" s="13"/>
      <c r="I29" s="13">
        <f>F29*H29</f>
        <v>0</v>
      </c>
      <c r="J29" s="13">
        <f t="shared" si="1"/>
        <v>0</v>
      </c>
      <c r="K29" s="13"/>
      <c r="L29" s="13">
        <f>F29*K29</f>
        <v>0</v>
      </c>
      <c r="M29" s="62">
        <f>37.22+70+39.93+12.57</f>
        <v>159.72</v>
      </c>
      <c r="N29" s="13">
        <f>F29*M29</f>
        <v>158122.8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158122.8</v>
      </c>
      <c r="T29" s="38">
        <v>0.25</v>
      </c>
      <c r="U29" s="13">
        <f>S29*T29</f>
        <v>39530.7</v>
      </c>
      <c r="V29" s="13">
        <f>S29+U29</f>
        <v>197653.5</v>
      </c>
      <c r="W29" s="3"/>
      <c r="X29" s="3"/>
      <c r="Y29" s="3"/>
      <c r="AB29" s="43"/>
      <c r="AC29" s="80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80"/>
    </row>
    <row r="31" spans="1:29" s="4" customFormat="1" ht="11.25">
      <c r="A31" s="50">
        <v>1.18</v>
      </c>
      <c r="B31" s="3"/>
      <c r="C31" s="37"/>
      <c r="D31" s="59" t="s">
        <v>112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0"/>
    </row>
    <row r="32" spans="1:29" s="4" customFormat="1" ht="22.5">
      <c r="A32" s="50">
        <v>1.19</v>
      </c>
      <c r="B32" s="3"/>
      <c r="C32" s="37"/>
      <c r="D32" s="56" t="s">
        <v>100</v>
      </c>
      <c r="E32" s="37" t="s">
        <v>101</v>
      </c>
      <c r="F32" s="64">
        <v>3800</v>
      </c>
      <c r="G32" s="57" t="s">
        <v>102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616484/F32</f>
        <v>162.23263157894738</v>
      </c>
      <c r="N32" s="13">
        <f t="shared" si="3"/>
        <v>616484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616484</v>
      </c>
      <c r="T32" s="38">
        <v>0.25</v>
      </c>
      <c r="U32" s="13">
        <f t="shared" si="7"/>
        <v>154121</v>
      </c>
      <c r="V32" s="13">
        <f t="shared" si="8"/>
        <v>770605</v>
      </c>
      <c r="W32" s="3"/>
      <c r="X32" s="3"/>
      <c r="Y32" s="3"/>
      <c r="AB32" s="43"/>
      <c r="AC32" s="80"/>
    </row>
    <row r="33" spans="1:29" s="4" customFormat="1" ht="33.75">
      <c r="A33" s="50">
        <v>1.2</v>
      </c>
      <c r="B33" s="3"/>
      <c r="C33" s="37"/>
      <c r="D33" s="56" t="s">
        <v>103</v>
      </c>
      <c r="E33" s="37" t="s">
        <v>105</v>
      </c>
      <c r="F33" s="64">
        <v>5700</v>
      </c>
      <c r="G33" s="57" t="s">
        <v>84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62">
        <f>10.04+59.13+35.79</f>
        <v>104.96000000000001</v>
      </c>
      <c r="N33" s="13">
        <f t="shared" si="3"/>
        <v>598272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598272</v>
      </c>
      <c r="T33" s="38">
        <v>0.25</v>
      </c>
      <c r="U33" s="13">
        <f t="shared" si="7"/>
        <v>149568</v>
      </c>
      <c r="V33" s="13">
        <f t="shared" si="8"/>
        <v>747840</v>
      </c>
      <c r="W33" s="3"/>
      <c r="X33" s="3"/>
      <c r="Y33" s="3"/>
      <c r="AB33" s="43"/>
      <c r="AC33" s="80"/>
    </row>
    <row r="34" spans="1:25" s="4" customFormat="1" ht="11.25">
      <c r="A34" s="50">
        <v>1.21</v>
      </c>
      <c r="B34" s="3"/>
      <c r="C34" s="37"/>
      <c r="D34" s="56" t="s">
        <v>167</v>
      </c>
      <c r="E34" s="37" t="s">
        <v>168</v>
      </c>
      <c r="F34" s="64">
        <v>11000</v>
      </c>
      <c r="G34" s="57" t="s">
        <v>169</v>
      </c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75">
        <v>3.62</v>
      </c>
      <c r="N34" s="13">
        <f t="shared" si="3"/>
        <v>39820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39820</v>
      </c>
      <c r="T34" s="38">
        <v>0.25</v>
      </c>
      <c r="U34" s="13">
        <f t="shared" si="7"/>
        <v>9955</v>
      </c>
      <c r="V34" s="13">
        <f t="shared" si="8"/>
        <v>49775</v>
      </c>
      <c r="W34" s="3"/>
      <c r="X34" s="58"/>
      <c r="Y34" s="3"/>
    </row>
    <row r="35" spans="1:29" s="4" customFormat="1" ht="11.25">
      <c r="A35" s="50">
        <v>1.22</v>
      </c>
      <c r="B35" s="3"/>
      <c r="C35" s="37"/>
      <c r="D35" s="56"/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0"/>
    </row>
    <row r="36" spans="1:29" s="4" customFormat="1" ht="11.25">
      <c r="A36" s="50">
        <v>1.23</v>
      </c>
      <c r="B36" s="3"/>
      <c r="C36" s="37"/>
      <c r="D36" s="59" t="s">
        <v>113</v>
      </c>
      <c r="E36" s="37"/>
      <c r="F36" s="64"/>
      <c r="G36" s="57"/>
      <c r="H36" s="13"/>
      <c r="I36" s="13">
        <f t="shared" si="0"/>
        <v>0</v>
      </c>
      <c r="J36" s="13">
        <f t="shared" si="1"/>
        <v>0</v>
      </c>
      <c r="K36" s="13"/>
      <c r="L36" s="13">
        <f t="shared" si="2"/>
        <v>0</v>
      </c>
      <c r="M36" s="13"/>
      <c r="N36" s="13">
        <f t="shared" si="3"/>
        <v>0</v>
      </c>
      <c r="O36" s="13"/>
      <c r="P36" s="13">
        <f t="shared" si="4"/>
        <v>0</v>
      </c>
      <c r="Q36" s="38"/>
      <c r="R36" s="13">
        <f t="shared" si="5"/>
        <v>0</v>
      </c>
      <c r="S36" s="13">
        <f t="shared" si="6"/>
        <v>0</v>
      </c>
      <c r="T36" s="38"/>
      <c r="U36" s="13">
        <f t="shared" si="7"/>
        <v>0</v>
      </c>
      <c r="V36" s="13">
        <f t="shared" si="8"/>
        <v>0</v>
      </c>
      <c r="W36" s="3"/>
      <c r="X36" s="3"/>
      <c r="Y36" s="3"/>
      <c r="AC36" s="80"/>
    </row>
    <row r="37" spans="1:29" s="4" customFormat="1" ht="11.25">
      <c r="A37" s="50">
        <v>1.24</v>
      </c>
      <c r="B37" s="3"/>
      <c r="C37" s="37"/>
      <c r="D37" s="56" t="s">
        <v>114</v>
      </c>
      <c r="E37" s="37" t="s">
        <v>117</v>
      </c>
      <c r="F37" s="64">
        <v>1</v>
      </c>
      <c r="G37" s="57" t="s">
        <v>102</v>
      </c>
      <c r="H37" s="13"/>
      <c r="I37" s="13">
        <f>F37*H37</f>
        <v>0</v>
      </c>
      <c r="J37" s="13">
        <f t="shared" si="1"/>
        <v>0</v>
      </c>
      <c r="K37" s="13"/>
      <c r="L37" s="13">
        <f>F37*K37</f>
        <v>0</v>
      </c>
      <c r="M37" s="62">
        <v>26000</v>
      </c>
      <c r="N37" s="13">
        <f>F37*M37</f>
        <v>26000</v>
      </c>
      <c r="O37" s="13"/>
      <c r="P37" s="13">
        <f>F37*O37</f>
        <v>0</v>
      </c>
      <c r="Q37" s="38"/>
      <c r="R37" s="13">
        <f>(J37+L37+N37+P37)*Q37</f>
        <v>0</v>
      </c>
      <c r="S37" s="13">
        <f>J37+L37+N37+P37+R37</f>
        <v>26000</v>
      </c>
      <c r="T37" s="38">
        <v>0.25</v>
      </c>
      <c r="U37" s="13">
        <f>S37*T37</f>
        <v>6500</v>
      </c>
      <c r="V37" s="13">
        <f>S37+U37</f>
        <v>32500</v>
      </c>
      <c r="W37" s="3"/>
      <c r="X37" s="3"/>
      <c r="Y37" s="3"/>
      <c r="AB37" s="43"/>
      <c r="AC37" s="80"/>
    </row>
    <row r="38" spans="1:29" s="4" customFormat="1" ht="22.5">
      <c r="A38" s="50">
        <v>1.25</v>
      </c>
      <c r="B38" s="3"/>
      <c r="C38" s="37"/>
      <c r="D38" s="56" t="s">
        <v>138</v>
      </c>
      <c r="E38" s="37" t="s">
        <v>115</v>
      </c>
      <c r="F38" s="64">
        <v>900</v>
      </c>
      <c r="G38" s="57" t="s">
        <v>116</v>
      </c>
      <c r="H38" s="65"/>
      <c r="I38" s="13">
        <f t="shared" si="0"/>
        <v>0</v>
      </c>
      <c r="J38" s="13">
        <f t="shared" si="1"/>
        <v>0</v>
      </c>
      <c r="K38" s="65"/>
      <c r="L38" s="13">
        <f t="shared" si="2"/>
        <v>0</v>
      </c>
      <c r="M38" s="65">
        <f>(7.31*100)+204.27+(4.48*4.38)+25.18</f>
        <v>980.0723999999999</v>
      </c>
      <c r="N38" s="13">
        <f t="shared" si="3"/>
        <v>882065.1599999999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882065.1599999999</v>
      </c>
      <c r="T38" s="38">
        <v>0.25</v>
      </c>
      <c r="U38" s="13">
        <f t="shared" si="7"/>
        <v>220516.28999999998</v>
      </c>
      <c r="V38" s="13">
        <f t="shared" si="8"/>
        <v>1102581.45</v>
      </c>
      <c r="W38" s="3"/>
      <c r="X38" s="3"/>
      <c r="Y38" s="3"/>
      <c r="AB38" s="43"/>
      <c r="AC38" s="80"/>
    </row>
    <row r="39" spans="1:29" s="4" customFormat="1" ht="11.25">
      <c r="A39" s="50">
        <v>1.26</v>
      </c>
      <c r="B39" s="3"/>
      <c r="C39" s="37"/>
      <c r="D39" s="56"/>
      <c r="E39" s="37"/>
      <c r="F39" s="64"/>
      <c r="G39" s="57"/>
      <c r="H39" s="13"/>
      <c r="I39" s="13">
        <f t="shared" si="0"/>
        <v>0</v>
      </c>
      <c r="J39" s="13">
        <f t="shared" si="1"/>
        <v>0</v>
      </c>
      <c r="K39" s="13"/>
      <c r="L39" s="13">
        <f t="shared" si="2"/>
        <v>0</v>
      </c>
      <c r="M39" s="13"/>
      <c r="N39" s="13">
        <f t="shared" si="3"/>
        <v>0</v>
      </c>
      <c r="O39" s="13"/>
      <c r="P39" s="13">
        <f t="shared" si="4"/>
        <v>0</v>
      </c>
      <c r="Q39" s="38"/>
      <c r="R39" s="13">
        <f t="shared" si="5"/>
        <v>0</v>
      </c>
      <c r="S39" s="13">
        <f t="shared" si="6"/>
        <v>0</v>
      </c>
      <c r="T39" s="38"/>
      <c r="U39" s="13">
        <f t="shared" si="7"/>
        <v>0</v>
      </c>
      <c r="V39" s="13">
        <f t="shared" si="8"/>
        <v>0</v>
      </c>
      <c r="W39" s="3"/>
      <c r="X39" s="3"/>
      <c r="Y39" s="3"/>
      <c r="AB39" s="43"/>
      <c r="AC39" s="80"/>
    </row>
    <row r="40" spans="1:29" s="4" customFormat="1" ht="11.25">
      <c r="A40" s="50">
        <v>1.27</v>
      </c>
      <c r="B40" s="3"/>
      <c r="C40" s="37"/>
      <c r="D40" s="59" t="s">
        <v>71</v>
      </c>
      <c r="E40" s="37"/>
      <c r="F40" s="64"/>
      <c r="G40" s="57"/>
      <c r="H40" s="13"/>
      <c r="I40" s="13">
        <f aca="true" t="shared" si="17" ref="I40:I63">F40*H40</f>
        <v>0</v>
      </c>
      <c r="J40" s="13">
        <f t="shared" si="1"/>
        <v>0</v>
      </c>
      <c r="K40" s="13"/>
      <c r="L40" s="13">
        <f aca="true" t="shared" si="18" ref="L40:L63">F40*K40</f>
        <v>0</v>
      </c>
      <c r="M40" s="13"/>
      <c r="N40" s="13">
        <f aca="true" t="shared" si="19" ref="N40:N63">F40*M40</f>
        <v>0</v>
      </c>
      <c r="O40" s="13"/>
      <c r="P40" s="13">
        <f aca="true" t="shared" si="20" ref="P40:P63">F40*O40</f>
        <v>0</v>
      </c>
      <c r="Q40" s="38"/>
      <c r="R40" s="13">
        <f aca="true" t="shared" si="21" ref="R40:R63">(J40+L40+N40+P40)*Q40</f>
        <v>0</v>
      </c>
      <c r="S40" s="13">
        <f aca="true" t="shared" si="22" ref="S40:S63">J40+L40+N40+P40+R40</f>
        <v>0</v>
      </c>
      <c r="T40" s="38"/>
      <c r="U40" s="13">
        <f aca="true" t="shared" si="23" ref="U40:U63">S40*T40</f>
        <v>0</v>
      </c>
      <c r="V40" s="13">
        <f aca="true" t="shared" si="24" ref="V40:V63">S40+U40</f>
        <v>0</v>
      </c>
      <c r="W40" s="3"/>
      <c r="X40" s="3"/>
      <c r="Y40" s="3"/>
      <c r="AB40" s="43"/>
      <c r="AC40" s="80"/>
    </row>
    <row r="41" spans="1:29" s="4" customFormat="1" ht="11.25">
      <c r="A41" s="50">
        <v>1.28</v>
      </c>
      <c r="B41" s="3"/>
      <c r="C41" s="37"/>
      <c r="D41" s="56" t="s">
        <v>129</v>
      </c>
      <c r="E41" s="37" t="s">
        <v>130</v>
      </c>
      <c r="F41" s="64">
        <f>2*30.4</f>
        <v>60.8</v>
      </c>
      <c r="G41" s="57" t="s">
        <v>77</v>
      </c>
      <c r="H41" s="13"/>
      <c r="I41" s="13">
        <f t="shared" si="17"/>
        <v>0</v>
      </c>
      <c r="J41" s="13">
        <f aca="true" t="shared" si="25" ref="J41:J63">I41*$L$8</f>
        <v>0</v>
      </c>
      <c r="K41" s="13"/>
      <c r="L41" s="13">
        <f t="shared" si="18"/>
        <v>0</v>
      </c>
      <c r="M41" s="65">
        <f>2*150</f>
        <v>300</v>
      </c>
      <c r="N41" s="13">
        <f t="shared" si="19"/>
        <v>18240</v>
      </c>
      <c r="O41" s="13"/>
      <c r="P41" s="13">
        <f t="shared" si="20"/>
        <v>0</v>
      </c>
      <c r="Q41" s="38"/>
      <c r="R41" s="13">
        <f t="shared" si="21"/>
        <v>0</v>
      </c>
      <c r="S41" s="13">
        <f t="shared" si="22"/>
        <v>18240</v>
      </c>
      <c r="T41" s="38">
        <v>0.25</v>
      </c>
      <c r="U41" s="13">
        <f t="shared" si="23"/>
        <v>4560</v>
      </c>
      <c r="V41" s="13">
        <f t="shared" si="24"/>
        <v>22800</v>
      </c>
      <c r="W41" s="3"/>
      <c r="X41" s="3"/>
      <c r="Y41" s="3"/>
      <c r="AB41" s="43"/>
      <c r="AC41" s="80"/>
    </row>
    <row r="42" spans="1:29" s="4" customFormat="1" ht="11.25">
      <c r="A42" s="50">
        <v>1.29</v>
      </c>
      <c r="B42" s="3"/>
      <c r="C42" s="37"/>
      <c r="D42" s="56" t="s">
        <v>131</v>
      </c>
      <c r="E42" s="37" t="s">
        <v>130</v>
      </c>
      <c r="F42" s="64">
        <v>1</v>
      </c>
      <c r="G42" s="57" t="s">
        <v>67</v>
      </c>
      <c r="H42" s="13"/>
      <c r="I42" s="13">
        <f t="shared" si="17"/>
        <v>0</v>
      </c>
      <c r="J42" s="13">
        <f t="shared" si="25"/>
        <v>0</v>
      </c>
      <c r="K42" s="13"/>
      <c r="L42" s="13">
        <f t="shared" si="18"/>
        <v>0</v>
      </c>
      <c r="M42" s="65">
        <v>15000</v>
      </c>
      <c r="N42" s="13">
        <f t="shared" si="19"/>
        <v>15000</v>
      </c>
      <c r="O42" s="13"/>
      <c r="P42" s="13">
        <f t="shared" si="20"/>
        <v>0</v>
      </c>
      <c r="Q42" s="38"/>
      <c r="R42" s="13">
        <f t="shared" si="21"/>
        <v>0</v>
      </c>
      <c r="S42" s="13">
        <f t="shared" si="22"/>
        <v>15000</v>
      </c>
      <c r="T42" s="38">
        <v>0.25</v>
      </c>
      <c r="U42" s="13">
        <f t="shared" si="23"/>
        <v>3750</v>
      </c>
      <c r="V42" s="13">
        <f t="shared" si="24"/>
        <v>18750</v>
      </c>
      <c r="W42" s="3"/>
      <c r="X42" s="3"/>
      <c r="Y42" s="3"/>
      <c r="AB42" s="43"/>
      <c r="AC42" s="80"/>
    </row>
    <row r="43" spans="1:29" s="4" customFormat="1" ht="11.25">
      <c r="A43" s="50">
        <v>1.3</v>
      </c>
      <c r="B43" s="3"/>
      <c r="C43" s="37"/>
      <c r="D43" s="56" t="s">
        <v>132</v>
      </c>
      <c r="E43" s="37" t="s">
        <v>130</v>
      </c>
      <c r="F43" s="64">
        <v>2</v>
      </c>
      <c r="G43" s="57" t="s">
        <v>75</v>
      </c>
      <c r="H43" s="13"/>
      <c r="I43" s="13">
        <f t="shared" si="17"/>
        <v>0</v>
      </c>
      <c r="J43" s="13">
        <f t="shared" si="25"/>
        <v>0</v>
      </c>
      <c r="K43" s="13"/>
      <c r="L43" s="13">
        <f t="shared" si="18"/>
        <v>0</v>
      </c>
      <c r="M43" s="65">
        <v>2000</v>
      </c>
      <c r="N43" s="13">
        <f t="shared" si="19"/>
        <v>4000</v>
      </c>
      <c r="O43" s="13"/>
      <c r="P43" s="13">
        <f t="shared" si="20"/>
        <v>0</v>
      </c>
      <c r="Q43" s="38"/>
      <c r="R43" s="13">
        <f t="shared" si="21"/>
        <v>0</v>
      </c>
      <c r="S43" s="13">
        <f t="shared" si="22"/>
        <v>4000</v>
      </c>
      <c r="T43" s="38">
        <v>0.25</v>
      </c>
      <c r="U43" s="13">
        <f t="shared" si="23"/>
        <v>1000</v>
      </c>
      <c r="V43" s="13">
        <f t="shared" si="24"/>
        <v>5000</v>
      </c>
      <c r="W43" s="3"/>
      <c r="X43" s="3"/>
      <c r="Y43" s="3"/>
      <c r="AB43" s="43"/>
      <c r="AC43" s="80"/>
    </row>
    <row r="44" spans="1:29" s="4" customFormat="1" ht="11.25">
      <c r="A44" s="50">
        <v>1.31</v>
      </c>
      <c r="B44" s="3"/>
      <c r="C44" s="37"/>
      <c r="D44" s="56" t="s">
        <v>133</v>
      </c>
      <c r="E44" s="37" t="s">
        <v>95</v>
      </c>
      <c r="F44" s="64">
        <f>F43</f>
        <v>2</v>
      </c>
      <c r="G44" s="57" t="s">
        <v>75</v>
      </c>
      <c r="H44" s="13"/>
      <c r="I44" s="13">
        <f t="shared" si="17"/>
        <v>0</v>
      </c>
      <c r="J44" s="13">
        <f t="shared" si="25"/>
        <v>0</v>
      </c>
      <c r="K44" s="13"/>
      <c r="L44" s="13">
        <f t="shared" si="18"/>
        <v>0</v>
      </c>
      <c r="M44" s="65">
        <v>5000</v>
      </c>
      <c r="N44" s="13">
        <f t="shared" si="19"/>
        <v>10000</v>
      </c>
      <c r="O44" s="13"/>
      <c r="P44" s="13">
        <f t="shared" si="20"/>
        <v>0</v>
      </c>
      <c r="Q44" s="38"/>
      <c r="R44" s="13">
        <f t="shared" si="21"/>
        <v>0</v>
      </c>
      <c r="S44" s="13">
        <f t="shared" si="22"/>
        <v>10000</v>
      </c>
      <c r="T44" s="38">
        <v>0.25</v>
      </c>
      <c r="U44" s="13">
        <f t="shared" si="23"/>
        <v>2500</v>
      </c>
      <c r="V44" s="13">
        <f t="shared" si="24"/>
        <v>12500</v>
      </c>
      <c r="W44" s="3"/>
      <c r="X44" s="3"/>
      <c r="Y44" s="3"/>
      <c r="AB44" s="43"/>
      <c r="AC44" s="80"/>
    </row>
    <row r="45" spans="1:29" s="4" customFormat="1" ht="11.25">
      <c r="A45" s="50">
        <v>1.32</v>
      </c>
      <c r="B45" s="3"/>
      <c r="C45" s="37"/>
      <c r="D45" s="56" t="s">
        <v>134</v>
      </c>
      <c r="E45" s="37" t="s">
        <v>94</v>
      </c>
      <c r="F45" s="64">
        <f>F41</f>
        <v>60.8</v>
      </c>
      <c r="G45" s="57" t="s">
        <v>77</v>
      </c>
      <c r="H45" s="13"/>
      <c r="I45" s="13">
        <f t="shared" si="17"/>
        <v>0</v>
      </c>
      <c r="J45" s="13">
        <f t="shared" si="25"/>
        <v>0</v>
      </c>
      <c r="K45" s="13"/>
      <c r="L45" s="13">
        <f t="shared" si="18"/>
        <v>0</v>
      </c>
      <c r="M45" s="65">
        <f>6*150</f>
        <v>900</v>
      </c>
      <c r="N45" s="13">
        <f t="shared" si="19"/>
        <v>54720</v>
      </c>
      <c r="O45" s="13"/>
      <c r="P45" s="13">
        <f t="shared" si="20"/>
        <v>0</v>
      </c>
      <c r="Q45" s="38"/>
      <c r="R45" s="13">
        <f t="shared" si="21"/>
        <v>0</v>
      </c>
      <c r="S45" s="13">
        <f t="shared" si="22"/>
        <v>54720</v>
      </c>
      <c r="T45" s="38">
        <v>0.25</v>
      </c>
      <c r="U45" s="13">
        <f t="shared" si="23"/>
        <v>13680</v>
      </c>
      <c r="V45" s="13">
        <f t="shared" si="24"/>
        <v>68400</v>
      </c>
      <c r="W45" s="3"/>
      <c r="X45" s="3"/>
      <c r="Y45" s="3"/>
      <c r="AB45" s="43"/>
      <c r="AC45" s="80"/>
    </row>
    <row r="46" spans="1:29" s="4" customFormat="1" ht="11.25">
      <c r="A46" s="50">
        <v>1.33</v>
      </c>
      <c r="B46" s="3"/>
      <c r="C46" s="37"/>
      <c r="D46" s="56" t="s">
        <v>135</v>
      </c>
      <c r="E46" s="37" t="s">
        <v>94</v>
      </c>
      <c r="F46" s="64">
        <f>F43</f>
        <v>2</v>
      </c>
      <c r="G46" s="57" t="s">
        <v>75</v>
      </c>
      <c r="H46" s="13"/>
      <c r="I46" s="13">
        <f>F46*H46</f>
        <v>0</v>
      </c>
      <c r="J46" s="13">
        <f>I46*$L$8</f>
        <v>0</v>
      </c>
      <c r="K46" s="13"/>
      <c r="L46" s="13">
        <f>F46*K46</f>
        <v>0</v>
      </c>
      <c r="M46" s="65">
        <f>6*3740</f>
        <v>22440</v>
      </c>
      <c r="N46" s="13">
        <f>F46*M46</f>
        <v>44880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44880</v>
      </c>
      <c r="T46" s="38">
        <v>0.25</v>
      </c>
      <c r="U46" s="13">
        <f>S46*T46</f>
        <v>11220</v>
      </c>
      <c r="V46" s="13">
        <f>S46+U46</f>
        <v>56100</v>
      </c>
      <c r="W46" s="3"/>
      <c r="X46" s="3"/>
      <c r="Y46" s="3"/>
      <c r="AB46" s="43"/>
      <c r="AC46" s="80"/>
    </row>
    <row r="47" spans="1:29" s="4" customFormat="1" ht="11.25">
      <c r="A47" s="50">
        <v>1.34</v>
      </c>
      <c r="B47" s="3"/>
      <c r="C47" s="37"/>
      <c r="D47" s="56" t="s">
        <v>76</v>
      </c>
      <c r="E47" s="37" t="s">
        <v>94</v>
      </c>
      <c r="F47" s="64">
        <f>F43</f>
        <v>2</v>
      </c>
      <c r="G47" s="57" t="s">
        <v>75</v>
      </c>
      <c r="H47" s="13"/>
      <c r="I47" s="13">
        <f>F47*H47</f>
        <v>0</v>
      </c>
      <c r="J47" s="13">
        <f>I47*$L$8</f>
        <v>0</v>
      </c>
      <c r="K47" s="13"/>
      <c r="L47" s="13">
        <f>F47*K47</f>
        <v>0</v>
      </c>
      <c r="M47" s="65">
        <f>6*1320</f>
        <v>7920</v>
      </c>
      <c r="N47" s="13">
        <f>F47*M47</f>
        <v>15840</v>
      </c>
      <c r="O47" s="13"/>
      <c r="P47" s="13">
        <f>F47*O47</f>
        <v>0</v>
      </c>
      <c r="Q47" s="38"/>
      <c r="R47" s="13">
        <f>(J47+L47+N47+P47)*Q47</f>
        <v>0</v>
      </c>
      <c r="S47" s="13">
        <f>J47+L47+N47+P47+R47</f>
        <v>15840</v>
      </c>
      <c r="T47" s="38">
        <v>0.25</v>
      </c>
      <c r="U47" s="13">
        <f>S47*T47</f>
        <v>3960</v>
      </c>
      <c r="V47" s="13">
        <f>S47+U47</f>
        <v>19800</v>
      </c>
      <c r="W47" s="3"/>
      <c r="X47" s="3"/>
      <c r="Y47" s="3"/>
      <c r="AB47" s="43"/>
      <c r="AC47" s="80"/>
    </row>
    <row r="48" spans="1:29" s="4" customFormat="1" ht="11.25">
      <c r="A48" s="50">
        <v>1.35</v>
      </c>
      <c r="B48" s="3"/>
      <c r="C48" s="37"/>
      <c r="D48" s="56"/>
      <c r="E48" s="37"/>
      <c r="F48" s="64"/>
      <c r="G48" s="57"/>
      <c r="H48" s="13"/>
      <c r="I48" s="13">
        <f t="shared" si="17"/>
        <v>0</v>
      </c>
      <c r="J48" s="13">
        <f t="shared" si="25"/>
        <v>0</v>
      </c>
      <c r="K48" s="13"/>
      <c r="L48" s="13">
        <f t="shared" si="18"/>
        <v>0</v>
      </c>
      <c r="M48" s="13"/>
      <c r="N48" s="13">
        <f t="shared" si="19"/>
        <v>0</v>
      </c>
      <c r="O48" s="13"/>
      <c r="P48" s="13">
        <f t="shared" si="20"/>
        <v>0</v>
      </c>
      <c r="Q48" s="38"/>
      <c r="R48" s="13">
        <f t="shared" si="21"/>
        <v>0</v>
      </c>
      <c r="S48" s="13">
        <f t="shared" si="22"/>
        <v>0</v>
      </c>
      <c r="T48" s="38"/>
      <c r="U48" s="13">
        <f t="shared" si="23"/>
        <v>0</v>
      </c>
      <c r="V48" s="13">
        <f t="shared" si="24"/>
        <v>0</v>
      </c>
      <c r="W48" s="3"/>
      <c r="X48" s="3"/>
      <c r="Y48" s="3"/>
      <c r="AB48" s="43"/>
      <c r="AC48" s="80"/>
    </row>
    <row r="49" spans="1:29" s="4" customFormat="1" ht="33.75">
      <c r="A49" s="50">
        <v>1.36</v>
      </c>
      <c r="B49" s="3"/>
      <c r="C49" s="37"/>
      <c r="D49" s="59" t="s">
        <v>72</v>
      </c>
      <c r="E49" s="37" t="s">
        <v>136</v>
      </c>
      <c r="F49" s="64"/>
      <c r="G49" s="57"/>
      <c r="H49" s="13"/>
      <c r="I49" s="13">
        <f t="shared" si="17"/>
        <v>0</v>
      </c>
      <c r="J49" s="13">
        <f t="shared" si="25"/>
        <v>0</v>
      </c>
      <c r="K49" s="13"/>
      <c r="L49" s="13">
        <f t="shared" si="18"/>
        <v>0</v>
      </c>
      <c r="M49" s="13"/>
      <c r="N49" s="13">
        <f t="shared" si="19"/>
        <v>0</v>
      </c>
      <c r="O49" s="13"/>
      <c r="P49" s="13">
        <f t="shared" si="20"/>
        <v>0</v>
      </c>
      <c r="Q49" s="38"/>
      <c r="R49" s="13">
        <f t="shared" si="21"/>
        <v>0</v>
      </c>
      <c r="S49" s="13">
        <f t="shared" si="22"/>
        <v>0</v>
      </c>
      <c r="T49" s="38"/>
      <c r="U49" s="13">
        <f t="shared" si="23"/>
        <v>0</v>
      </c>
      <c r="V49" s="13">
        <f t="shared" si="24"/>
        <v>0</v>
      </c>
      <c r="W49" s="3"/>
      <c r="X49" s="3"/>
      <c r="Y49" s="3"/>
      <c r="AB49" s="43"/>
      <c r="AC49" s="80"/>
    </row>
    <row r="50" spans="1:29" s="4" customFormat="1" ht="11.25">
      <c r="A50" s="50">
        <v>1.37</v>
      </c>
      <c r="B50" s="3"/>
      <c r="C50" s="37"/>
      <c r="D50" s="56" t="s">
        <v>137</v>
      </c>
      <c r="E50" s="37" t="s">
        <v>98</v>
      </c>
      <c r="F50" s="64">
        <f>2*30.4</f>
        <v>60.8</v>
      </c>
      <c r="G50" s="57" t="s">
        <v>77</v>
      </c>
      <c r="H50" s="13"/>
      <c r="I50" s="13">
        <f t="shared" si="17"/>
        <v>0</v>
      </c>
      <c r="J50" s="13">
        <f t="shared" si="25"/>
        <v>0</v>
      </c>
      <c r="K50" s="13"/>
      <c r="L50" s="13">
        <f t="shared" si="18"/>
        <v>0</v>
      </c>
      <c r="M50" s="65">
        <f>24*110</f>
        <v>2640</v>
      </c>
      <c r="N50" s="13">
        <f t="shared" si="19"/>
        <v>160512</v>
      </c>
      <c r="O50" s="13"/>
      <c r="P50" s="13">
        <f t="shared" si="20"/>
        <v>0</v>
      </c>
      <c r="Q50" s="38"/>
      <c r="R50" s="13">
        <f t="shared" si="21"/>
        <v>0</v>
      </c>
      <c r="S50" s="13">
        <f t="shared" si="22"/>
        <v>160512</v>
      </c>
      <c r="T50" s="38">
        <v>0.25</v>
      </c>
      <c r="U50" s="13">
        <f t="shared" si="23"/>
        <v>40128</v>
      </c>
      <c r="V50" s="13">
        <f t="shared" si="24"/>
        <v>200640</v>
      </c>
      <c r="W50" s="3"/>
      <c r="X50" s="3"/>
      <c r="Y50" s="3"/>
      <c r="AB50" s="43"/>
      <c r="AC50" s="80"/>
    </row>
    <row r="51" spans="1:29" s="4" customFormat="1" ht="11.25">
      <c r="A51" s="50">
        <v>1.38</v>
      </c>
      <c r="B51" s="3"/>
      <c r="C51" s="37"/>
      <c r="D51" s="56" t="s">
        <v>74</v>
      </c>
      <c r="E51" s="37" t="s">
        <v>98</v>
      </c>
      <c r="F51" s="64">
        <f>F50</f>
        <v>60.8</v>
      </c>
      <c r="G51" s="57" t="s">
        <v>77</v>
      </c>
      <c r="H51" s="13"/>
      <c r="I51" s="13">
        <f t="shared" si="17"/>
        <v>0</v>
      </c>
      <c r="J51" s="13">
        <f t="shared" si="25"/>
        <v>0</v>
      </c>
      <c r="K51" s="13"/>
      <c r="L51" s="13">
        <f t="shared" si="18"/>
        <v>0</v>
      </c>
      <c r="M51" s="65">
        <f>24*110</f>
        <v>2640</v>
      </c>
      <c r="N51" s="13">
        <f t="shared" si="19"/>
        <v>160512</v>
      </c>
      <c r="O51" s="13"/>
      <c r="P51" s="13">
        <f t="shared" si="20"/>
        <v>0</v>
      </c>
      <c r="Q51" s="38"/>
      <c r="R51" s="13">
        <f t="shared" si="21"/>
        <v>0</v>
      </c>
      <c r="S51" s="13">
        <f t="shared" si="22"/>
        <v>160512</v>
      </c>
      <c r="T51" s="38">
        <v>0.25</v>
      </c>
      <c r="U51" s="13">
        <f t="shared" si="23"/>
        <v>40128</v>
      </c>
      <c r="V51" s="13">
        <f t="shared" si="24"/>
        <v>200640</v>
      </c>
      <c r="W51" s="3"/>
      <c r="X51" s="3"/>
      <c r="Y51" s="3"/>
      <c r="AB51" s="43"/>
      <c r="AC51" s="80"/>
    </row>
    <row r="52" spans="1:29" s="4" customFormat="1" ht="11.25">
      <c r="A52" s="50">
        <v>1.39</v>
      </c>
      <c r="B52" s="3"/>
      <c r="C52" s="37"/>
      <c r="D52" s="56" t="s">
        <v>73</v>
      </c>
      <c r="E52" s="37" t="s">
        <v>97</v>
      </c>
      <c r="F52" s="74">
        <f>F50*2</f>
        <v>121.6</v>
      </c>
      <c r="G52" s="57" t="s">
        <v>77</v>
      </c>
      <c r="H52" s="13"/>
      <c r="I52" s="13">
        <f t="shared" si="17"/>
        <v>0</v>
      </c>
      <c r="J52" s="13">
        <f t="shared" si="25"/>
        <v>0</v>
      </c>
      <c r="K52" s="13"/>
      <c r="L52" s="13">
        <f t="shared" si="18"/>
        <v>0</v>
      </c>
      <c r="M52" s="65">
        <f>24*75</f>
        <v>1800</v>
      </c>
      <c r="N52" s="13">
        <f t="shared" si="19"/>
        <v>218880</v>
      </c>
      <c r="O52" s="13"/>
      <c r="P52" s="13">
        <f t="shared" si="20"/>
        <v>0</v>
      </c>
      <c r="Q52" s="38"/>
      <c r="R52" s="13">
        <f t="shared" si="21"/>
        <v>0</v>
      </c>
      <c r="S52" s="13">
        <f t="shared" si="22"/>
        <v>218880</v>
      </c>
      <c r="T52" s="38">
        <v>0.25</v>
      </c>
      <c r="U52" s="13">
        <f t="shared" si="23"/>
        <v>54720</v>
      </c>
      <c r="V52" s="13">
        <f t="shared" si="24"/>
        <v>273600</v>
      </c>
      <c r="W52" s="3"/>
      <c r="X52" s="3"/>
      <c r="Y52" s="3"/>
      <c r="AB52" s="43"/>
      <c r="AC52" s="80"/>
    </row>
    <row r="53" spans="1:29" s="4" customFormat="1" ht="11.25">
      <c r="A53" s="50">
        <v>1.4</v>
      </c>
      <c r="B53" s="3"/>
      <c r="C53" s="37"/>
      <c r="D53" s="56"/>
      <c r="E53" s="37"/>
      <c r="F53" s="64"/>
      <c r="G53" s="57"/>
      <c r="H53" s="13"/>
      <c r="I53" s="13">
        <f t="shared" si="17"/>
        <v>0</v>
      </c>
      <c r="J53" s="13">
        <f t="shared" si="25"/>
        <v>0</v>
      </c>
      <c r="K53" s="13"/>
      <c r="L53" s="13">
        <f t="shared" si="18"/>
        <v>0</v>
      </c>
      <c r="M53" s="13"/>
      <c r="N53" s="13">
        <f t="shared" si="19"/>
        <v>0</v>
      </c>
      <c r="O53" s="13"/>
      <c r="P53" s="13">
        <f t="shared" si="20"/>
        <v>0</v>
      </c>
      <c r="Q53" s="38"/>
      <c r="R53" s="13">
        <f t="shared" si="21"/>
        <v>0</v>
      </c>
      <c r="S53" s="13">
        <f t="shared" si="22"/>
        <v>0</v>
      </c>
      <c r="T53" s="38"/>
      <c r="U53" s="13">
        <f t="shared" si="23"/>
        <v>0</v>
      </c>
      <c r="V53" s="13">
        <f t="shared" si="24"/>
        <v>0</v>
      </c>
      <c r="W53" s="3"/>
      <c r="X53" s="3"/>
      <c r="Y53" s="3"/>
      <c r="AB53" s="43"/>
      <c r="AC53" s="80"/>
    </row>
    <row r="54" spans="1:29" s="4" customFormat="1" ht="11.25">
      <c r="A54" s="50">
        <v>1.41</v>
      </c>
      <c r="B54" s="3"/>
      <c r="C54" s="37"/>
      <c r="D54" s="59" t="s">
        <v>141</v>
      </c>
      <c r="E54" s="37"/>
      <c r="F54" s="64"/>
      <c r="G54" s="57"/>
      <c r="H54" s="13"/>
      <c r="I54" s="13">
        <f t="shared" si="17"/>
        <v>0</v>
      </c>
      <c r="J54" s="13">
        <f t="shared" si="25"/>
        <v>0</v>
      </c>
      <c r="K54" s="13"/>
      <c r="L54" s="13">
        <f t="shared" si="18"/>
        <v>0</v>
      </c>
      <c r="M54" s="75"/>
      <c r="N54" s="13">
        <f t="shared" si="19"/>
        <v>0</v>
      </c>
      <c r="O54" s="13"/>
      <c r="P54" s="13">
        <f t="shared" si="20"/>
        <v>0</v>
      </c>
      <c r="Q54" s="38"/>
      <c r="R54" s="13">
        <f t="shared" si="21"/>
        <v>0</v>
      </c>
      <c r="S54" s="13">
        <f t="shared" si="22"/>
        <v>0</v>
      </c>
      <c r="T54" s="38"/>
      <c r="U54" s="13">
        <f t="shared" si="23"/>
        <v>0</v>
      </c>
      <c r="V54" s="13">
        <f t="shared" si="24"/>
        <v>0</v>
      </c>
      <c r="W54" s="3"/>
      <c r="X54" s="3"/>
      <c r="Y54" s="3"/>
      <c r="AC54" s="80"/>
    </row>
    <row r="55" spans="1:29" s="4" customFormat="1" ht="56.25">
      <c r="A55" s="50">
        <v>1.42</v>
      </c>
      <c r="B55" s="3"/>
      <c r="C55" s="37"/>
      <c r="D55" s="56" t="s">
        <v>142</v>
      </c>
      <c r="E55" s="37" t="s">
        <v>143</v>
      </c>
      <c r="F55" s="64">
        <v>1</v>
      </c>
      <c r="G55" s="57" t="s">
        <v>102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75">
        <f>385000+(271*900)+(4*19712)+(12.6*F41*1.6)+(1*F41*4*100)</f>
        <v>733293.728</v>
      </c>
      <c r="N55" s="13">
        <f>F55*M55</f>
        <v>733293.728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733293.728</v>
      </c>
      <c r="T55" s="38">
        <v>0.25</v>
      </c>
      <c r="U55" s="13">
        <f>S55*T55</f>
        <v>183323.432</v>
      </c>
      <c r="V55" s="13">
        <f>S55+U55</f>
        <v>916617.16</v>
      </c>
      <c r="W55" s="3"/>
      <c r="X55" s="3"/>
      <c r="Y55" s="3"/>
      <c r="AB55" s="43"/>
      <c r="AC55" s="80"/>
    </row>
    <row r="56" spans="1:29" s="4" customFormat="1" ht="11.25">
      <c r="A56" s="50">
        <v>1.43</v>
      </c>
      <c r="B56" s="3"/>
      <c r="C56" s="37"/>
      <c r="D56" s="56" t="s">
        <v>144</v>
      </c>
      <c r="E56" s="37"/>
      <c r="F56" s="64">
        <v>1</v>
      </c>
      <c r="G56" s="57" t="s">
        <v>67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f>1000*F15</f>
        <v>13000</v>
      </c>
      <c r="N56" s="13">
        <f>F56*M56</f>
        <v>13000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13000</v>
      </c>
      <c r="T56" s="38">
        <v>0.25</v>
      </c>
      <c r="U56" s="13">
        <f>S56*T56</f>
        <v>3250</v>
      </c>
      <c r="V56" s="13">
        <f>S56+U56</f>
        <v>16250</v>
      </c>
      <c r="W56" s="3"/>
      <c r="X56" s="3"/>
      <c r="Y56" s="3"/>
      <c r="AB56" s="43"/>
      <c r="AC56" s="80"/>
    </row>
    <row r="57" spans="1:29" s="4" customFormat="1" ht="11.25">
      <c r="A57" s="50">
        <v>1.44</v>
      </c>
      <c r="B57" s="3"/>
      <c r="C57" s="37"/>
      <c r="D57" s="56" t="s">
        <v>145</v>
      </c>
      <c r="E57" s="37"/>
      <c r="F57" s="64">
        <v>50</v>
      </c>
      <c r="G57" s="57" t="s">
        <v>102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75">
        <v>500</v>
      </c>
      <c r="N57" s="13">
        <f>F57*M57</f>
        <v>25000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25000</v>
      </c>
      <c r="T57" s="38">
        <v>0.25</v>
      </c>
      <c r="U57" s="13">
        <f>S57*T57</f>
        <v>6250</v>
      </c>
      <c r="V57" s="13">
        <f>S57+U57</f>
        <v>31250</v>
      </c>
      <c r="W57" s="3"/>
      <c r="X57" s="3"/>
      <c r="Y57" s="3"/>
      <c r="AB57" s="43"/>
      <c r="AC57" s="80"/>
    </row>
    <row r="58" spans="1:29" s="4" customFormat="1" ht="11.25">
      <c r="A58" s="50">
        <v>1.45</v>
      </c>
      <c r="B58" s="3"/>
      <c r="C58" s="37"/>
      <c r="D58" s="56"/>
      <c r="E58" s="37"/>
      <c r="F58" s="64"/>
      <c r="G58" s="57"/>
      <c r="H58" s="13"/>
      <c r="I58" s="13">
        <f t="shared" si="17"/>
        <v>0</v>
      </c>
      <c r="J58" s="13">
        <f t="shared" si="25"/>
        <v>0</v>
      </c>
      <c r="K58" s="13"/>
      <c r="L58" s="13">
        <f t="shared" si="18"/>
        <v>0</v>
      </c>
      <c r="M58" s="75"/>
      <c r="N58" s="13">
        <f t="shared" si="19"/>
        <v>0</v>
      </c>
      <c r="O58" s="13"/>
      <c r="P58" s="13">
        <f t="shared" si="20"/>
        <v>0</v>
      </c>
      <c r="Q58" s="38"/>
      <c r="R58" s="13">
        <f t="shared" si="21"/>
        <v>0</v>
      </c>
      <c r="S58" s="13">
        <f t="shared" si="22"/>
        <v>0</v>
      </c>
      <c r="T58" s="38"/>
      <c r="U58" s="13">
        <f t="shared" si="23"/>
        <v>0</v>
      </c>
      <c r="V58" s="13">
        <f t="shared" si="24"/>
        <v>0</v>
      </c>
      <c r="W58" s="3"/>
      <c r="X58" s="3"/>
      <c r="Y58" s="3"/>
      <c r="AB58" s="43"/>
      <c r="AC58" s="80"/>
    </row>
    <row r="59" spans="1:29" s="4" customFormat="1" ht="33.75">
      <c r="A59" s="50">
        <v>1.46</v>
      </c>
      <c r="B59" s="3"/>
      <c r="C59" s="37"/>
      <c r="D59" s="59" t="s">
        <v>79</v>
      </c>
      <c r="E59" s="37" t="s">
        <v>78</v>
      </c>
      <c r="F59" s="64"/>
      <c r="G59" s="57"/>
      <c r="H59" s="13"/>
      <c r="I59" s="13">
        <f t="shared" si="17"/>
        <v>0</v>
      </c>
      <c r="J59" s="13">
        <f t="shared" si="25"/>
        <v>0</v>
      </c>
      <c r="K59" s="13"/>
      <c r="L59" s="13">
        <f t="shared" si="18"/>
        <v>0</v>
      </c>
      <c r="M59" s="13"/>
      <c r="N59" s="13">
        <f t="shared" si="19"/>
        <v>0</v>
      </c>
      <c r="O59" s="13"/>
      <c r="P59" s="13">
        <f t="shared" si="20"/>
        <v>0</v>
      </c>
      <c r="Q59" s="38"/>
      <c r="R59" s="13">
        <f t="shared" si="21"/>
        <v>0</v>
      </c>
      <c r="S59" s="13">
        <f t="shared" si="22"/>
        <v>0</v>
      </c>
      <c r="T59" s="38"/>
      <c r="U59" s="13">
        <f t="shared" si="23"/>
        <v>0</v>
      </c>
      <c r="V59" s="13">
        <f t="shared" si="24"/>
        <v>0</v>
      </c>
      <c r="W59" s="3"/>
      <c r="X59" s="3"/>
      <c r="Y59" s="3"/>
      <c r="AC59" s="80"/>
    </row>
    <row r="60" spans="1:29" s="4" customFormat="1" ht="11.25">
      <c r="A60" s="50">
        <v>1.47</v>
      </c>
      <c r="B60" s="3"/>
      <c r="C60" s="37"/>
      <c r="D60" s="56" t="s">
        <v>139</v>
      </c>
      <c r="E60" s="37" t="s">
        <v>80</v>
      </c>
      <c r="F60" s="74">
        <f>F61/27000</f>
        <v>12.186185185185185</v>
      </c>
      <c r="G60" s="57" t="s">
        <v>123</v>
      </c>
      <c r="H60" s="13"/>
      <c r="I60" s="13">
        <f t="shared" si="17"/>
        <v>0</v>
      </c>
      <c r="J60" s="13">
        <f t="shared" si="25"/>
        <v>0</v>
      </c>
      <c r="K60" s="13"/>
      <c r="L60" s="13">
        <f t="shared" si="18"/>
        <v>0</v>
      </c>
      <c r="M60" s="65">
        <f>(71.4+100)*4</f>
        <v>685.6</v>
      </c>
      <c r="N60" s="13">
        <f t="shared" si="19"/>
        <v>8354.848562962963</v>
      </c>
      <c r="O60" s="13"/>
      <c r="P60" s="13">
        <f t="shared" si="20"/>
        <v>0</v>
      </c>
      <c r="Q60" s="38"/>
      <c r="R60" s="13">
        <f t="shared" si="21"/>
        <v>0</v>
      </c>
      <c r="S60" s="13">
        <f t="shared" si="22"/>
        <v>8354.848562962963</v>
      </c>
      <c r="T60" s="38">
        <v>0.25</v>
      </c>
      <c r="U60" s="13">
        <f t="shared" si="23"/>
        <v>2088.712140740741</v>
      </c>
      <c r="V60" s="13">
        <f t="shared" si="24"/>
        <v>10443.560703703704</v>
      </c>
      <c r="W60" s="58"/>
      <c r="X60" s="3"/>
      <c r="Y60" s="3"/>
      <c r="AB60" s="43"/>
      <c r="AC60" s="80"/>
    </row>
    <row r="61" spans="1:29" s="4" customFormat="1" ht="11.25">
      <c r="A61" s="50">
        <v>1.48</v>
      </c>
      <c r="B61" s="3"/>
      <c r="C61" s="37"/>
      <c r="D61" s="67"/>
      <c r="E61" s="4" t="s">
        <v>109</v>
      </c>
      <c r="F61" s="63">
        <f>7500+134400+(9600+177527)</f>
        <v>329027</v>
      </c>
      <c r="G61" s="69" t="s">
        <v>96</v>
      </c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13"/>
      <c r="N61" s="13">
        <f>F61*M61</f>
        <v>0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0</v>
      </c>
      <c r="T61" s="38"/>
      <c r="U61" s="13">
        <f>S61*T61</f>
        <v>0</v>
      </c>
      <c r="V61" s="13">
        <f>S61+U61</f>
        <v>0</v>
      </c>
      <c r="W61" s="3"/>
      <c r="X61" s="3"/>
      <c r="Y61" s="3"/>
      <c r="AB61" s="43"/>
      <c r="AC61" s="80"/>
    </row>
    <row r="62" spans="1:29" s="4" customFormat="1" ht="11.25">
      <c r="A62" s="50">
        <v>1.49</v>
      </c>
      <c r="B62" s="3"/>
      <c r="C62" s="37"/>
      <c r="D62" s="67"/>
      <c r="E62" s="37"/>
      <c r="F62" s="68"/>
      <c r="G62" s="69"/>
      <c r="H62" s="13"/>
      <c r="I62" s="13">
        <f t="shared" si="17"/>
        <v>0</v>
      </c>
      <c r="J62" s="13">
        <f t="shared" si="25"/>
        <v>0</v>
      </c>
      <c r="K62" s="13"/>
      <c r="L62" s="13">
        <f t="shared" si="18"/>
        <v>0</v>
      </c>
      <c r="M62" s="13"/>
      <c r="N62" s="13">
        <f t="shared" si="19"/>
        <v>0</v>
      </c>
      <c r="O62" s="13"/>
      <c r="P62" s="13">
        <f t="shared" si="20"/>
        <v>0</v>
      </c>
      <c r="Q62" s="38"/>
      <c r="R62" s="13">
        <f t="shared" si="21"/>
        <v>0</v>
      </c>
      <c r="S62" s="13">
        <f t="shared" si="22"/>
        <v>0</v>
      </c>
      <c r="T62" s="38"/>
      <c r="U62" s="13">
        <f t="shared" si="23"/>
        <v>0</v>
      </c>
      <c r="V62" s="13">
        <f t="shared" si="24"/>
        <v>0</v>
      </c>
      <c r="W62" s="3"/>
      <c r="X62" s="3"/>
      <c r="Y62" s="3"/>
      <c r="AB62" s="43"/>
      <c r="AC62" s="80"/>
    </row>
    <row r="63" spans="1:29" s="4" customFormat="1" ht="11.25">
      <c r="A63" s="50">
        <v>1.5</v>
      </c>
      <c r="B63" s="3"/>
      <c r="C63" s="37"/>
      <c r="D63" s="56"/>
      <c r="E63" s="37"/>
      <c r="F63" s="64"/>
      <c r="G63" s="57"/>
      <c r="H63" s="13"/>
      <c r="I63" s="13">
        <f t="shared" si="17"/>
        <v>0</v>
      </c>
      <c r="J63" s="13">
        <f t="shared" si="25"/>
        <v>0</v>
      </c>
      <c r="K63" s="13"/>
      <c r="L63" s="13">
        <f t="shared" si="18"/>
        <v>0</v>
      </c>
      <c r="M63" s="13"/>
      <c r="N63" s="13">
        <f t="shared" si="19"/>
        <v>0</v>
      </c>
      <c r="O63" s="13"/>
      <c r="P63" s="13">
        <f t="shared" si="20"/>
        <v>0</v>
      </c>
      <c r="Q63" s="38"/>
      <c r="R63" s="13">
        <f t="shared" si="21"/>
        <v>0</v>
      </c>
      <c r="S63" s="13">
        <f t="shared" si="22"/>
        <v>0</v>
      </c>
      <c r="T63" s="38"/>
      <c r="U63" s="13">
        <f t="shared" si="23"/>
        <v>0</v>
      </c>
      <c r="V63" s="13">
        <f t="shared" si="24"/>
        <v>0</v>
      </c>
      <c r="W63" s="3"/>
      <c r="X63" s="3"/>
      <c r="Y63" s="3"/>
      <c r="AB63" s="43"/>
      <c r="AC63" s="80"/>
    </row>
    <row r="64" spans="2:29" s="14" customFormat="1" ht="24.75" customHeight="1">
      <c r="B64" s="119" t="s">
        <v>37</v>
      </c>
      <c r="C64" s="119"/>
      <c r="D64" s="119"/>
      <c r="E64" s="119"/>
      <c r="F64" s="119"/>
      <c r="G64" s="119"/>
      <c r="H64" s="119"/>
      <c r="I64" s="36">
        <f>SUM(I14:I63)</f>
        <v>0</v>
      </c>
      <c r="J64" s="36">
        <f>SUM(J14:J63)</f>
        <v>0</v>
      </c>
      <c r="K64" s="48"/>
      <c r="L64" s="36">
        <f>SUM(L14:L63)</f>
        <v>0</v>
      </c>
      <c r="M64" s="48"/>
      <c r="N64" s="36">
        <f>SUM(N14:N63)</f>
        <v>8521696.785362963</v>
      </c>
      <c r="O64" s="48"/>
      <c r="P64" s="36">
        <f>SUM(P14:P63)</f>
        <v>0</v>
      </c>
      <c r="Q64" s="41">
        <f>R64/S64</f>
        <v>0</v>
      </c>
      <c r="R64" s="36">
        <f>SUM(R14:R63)</f>
        <v>0</v>
      </c>
      <c r="S64" s="36">
        <f>SUM(S14:S63)</f>
        <v>8521696.785362963</v>
      </c>
      <c r="T64" s="41">
        <f>U64/S64</f>
        <v>0.25</v>
      </c>
      <c r="U64" s="36">
        <f>SUM(U14:U63)</f>
        <v>2130424.1963407407</v>
      </c>
      <c r="V64" s="36">
        <f>SUM(V14:V63)</f>
        <v>10652120.981703704</v>
      </c>
      <c r="W64" s="4"/>
      <c r="X64" s="4"/>
      <c r="Y64" s="4"/>
      <c r="AB64" s="81"/>
      <c r="AC64" s="80"/>
    </row>
    <row r="65" spans="2:29" s="4" customFormat="1" ht="4.5" customHeight="1">
      <c r="B65" s="45"/>
      <c r="C65" s="45"/>
      <c r="D65" s="45"/>
      <c r="E65" s="45"/>
      <c r="F65" s="46"/>
      <c r="G65" s="61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45"/>
      <c r="Y65" s="45"/>
      <c r="AB65" s="43"/>
      <c r="AC65" s="80"/>
    </row>
    <row r="66" spans="2:29" s="4" customFormat="1" ht="11.25">
      <c r="B66" s="49" t="s">
        <v>45</v>
      </c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0"/>
    </row>
    <row r="67" spans="2:29" s="4" customFormat="1" ht="4.5" customHeight="1">
      <c r="B67" s="45"/>
      <c r="C67" s="45"/>
      <c r="D67" s="45"/>
      <c r="E67" s="45"/>
      <c r="F67" s="46"/>
      <c r="G67" s="61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46"/>
      <c r="S67" s="46"/>
      <c r="T67" s="47"/>
      <c r="U67" s="46"/>
      <c r="V67" s="46"/>
      <c r="W67" s="45"/>
      <c r="X67" s="45"/>
      <c r="Y67" s="45"/>
      <c r="AC67" s="80"/>
    </row>
    <row r="68" spans="1:29" s="4" customFormat="1" ht="22.5">
      <c r="A68" s="50">
        <v>2.01</v>
      </c>
      <c r="B68" s="3"/>
      <c r="C68" s="3"/>
      <c r="D68" s="3" t="s">
        <v>61</v>
      </c>
      <c r="E68" s="3" t="s">
        <v>140</v>
      </c>
      <c r="F68" s="64">
        <f>50*30.4*3.25</f>
        <v>4940</v>
      </c>
      <c r="G68" s="57" t="s">
        <v>69</v>
      </c>
      <c r="H68" s="13"/>
      <c r="I68" s="13">
        <f>F68*H68</f>
        <v>0</v>
      </c>
      <c r="J68" s="13">
        <f aca="true" t="shared" si="26" ref="J68:J84">I68*$L$8</f>
        <v>0</v>
      </c>
      <c r="K68" s="13"/>
      <c r="L68" s="13">
        <f>F68*K68</f>
        <v>0</v>
      </c>
      <c r="M68" s="62">
        <v>487.52</v>
      </c>
      <c r="N68" s="13">
        <f>F68*M68</f>
        <v>2408348.8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2408348.8</v>
      </c>
      <c r="T68" s="38">
        <v>0.25</v>
      </c>
      <c r="U68" s="13">
        <f>S68*T68</f>
        <v>602087.2</v>
      </c>
      <c r="V68" s="13">
        <f>S68+U68</f>
        <v>3010436</v>
      </c>
      <c r="W68" s="3"/>
      <c r="X68" s="3"/>
      <c r="Y68" s="3"/>
      <c r="AB68" s="43"/>
      <c r="AC68" s="80"/>
    </row>
    <row r="69" spans="1:29" s="4" customFormat="1" ht="22.5">
      <c r="A69" s="50">
        <v>2.02</v>
      </c>
      <c r="B69" s="3"/>
      <c r="C69" s="3"/>
      <c r="D69" s="37" t="s">
        <v>46</v>
      </c>
      <c r="E69" s="3"/>
      <c r="F69" s="66">
        <v>0.03</v>
      </c>
      <c r="G69" s="57"/>
      <c r="H69" s="13"/>
      <c r="I69" s="13">
        <f>F69*H69</f>
        <v>0</v>
      </c>
      <c r="J69" s="13">
        <f t="shared" si="26"/>
        <v>0</v>
      </c>
      <c r="K69" s="13"/>
      <c r="L69" s="13">
        <f>F69*K69</f>
        <v>0</v>
      </c>
      <c r="M69" s="62">
        <f>S64</f>
        <v>8521696.785362963</v>
      </c>
      <c r="N69" s="13">
        <f>F69*M69</f>
        <v>255650.90356088887</v>
      </c>
      <c r="O69" s="13"/>
      <c r="P69" s="13">
        <f>F69*O69</f>
        <v>0</v>
      </c>
      <c r="Q69" s="38"/>
      <c r="R69" s="13">
        <f>(J69+L69+N69+P69)*Q69</f>
        <v>0</v>
      </c>
      <c r="S69" s="13">
        <f>J69+L69+N69+P69+R69</f>
        <v>255650.90356088887</v>
      </c>
      <c r="T69" s="38">
        <v>0.25</v>
      </c>
      <c r="U69" s="13">
        <f>S69*T69</f>
        <v>63912.72589022222</v>
      </c>
      <c r="V69" s="13">
        <f>S69+U69</f>
        <v>319563.6294511111</v>
      </c>
      <c r="W69" s="3"/>
      <c r="X69" s="3"/>
      <c r="Y69" s="3"/>
      <c r="AB69" s="43"/>
      <c r="AC69" s="80"/>
    </row>
    <row r="70" spans="1:29" s="4" customFormat="1" ht="11.25">
      <c r="A70" s="50">
        <v>2.03</v>
      </c>
      <c r="B70" s="3"/>
      <c r="C70" s="3"/>
      <c r="D70" s="3" t="s">
        <v>68</v>
      </c>
      <c r="E70" s="3" t="s">
        <v>108</v>
      </c>
      <c r="F70" s="64"/>
      <c r="G70" s="57"/>
      <c r="H70" s="13"/>
      <c r="I70" s="13">
        <f aca="true" t="shared" si="27" ref="I70:I84">F70*H70</f>
        <v>0</v>
      </c>
      <c r="J70" s="13">
        <f t="shared" si="26"/>
        <v>0</v>
      </c>
      <c r="K70" s="13"/>
      <c r="L70" s="13">
        <f aca="true" t="shared" si="28" ref="L70:L84">F70*K70</f>
        <v>0</v>
      </c>
      <c r="M70" s="65"/>
      <c r="N70" s="13">
        <f aca="true" t="shared" si="29" ref="N70:N84">F70*M70</f>
        <v>0</v>
      </c>
      <c r="O70" s="13"/>
      <c r="P70" s="13">
        <f aca="true" t="shared" si="30" ref="P70:P84">F70*O70</f>
        <v>0</v>
      </c>
      <c r="Q70" s="38"/>
      <c r="R70" s="13">
        <f aca="true" t="shared" si="31" ref="R70:R84">(J70+L70+N70+P70)*Q70</f>
        <v>0</v>
      </c>
      <c r="S70" s="13">
        <f aca="true" t="shared" si="32" ref="S70:S84">J70+L70+N70+P70+R70</f>
        <v>0</v>
      </c>
      <c r="T70" s="38"/>
      <c r="U70" s="13">
        <f aca="true" t="shared" si="33" ref="U70:U84">S70*T70</f>
        <v>0</v>
      </c>
      <c r="V70" s="13">
        <f aca="true" t="shared" si="34" ref="V70:V84">S70+U70</f>
        <v>0</v>
      </c>
      <c r="W70" s="3"/>
      <c r="X70" s="3"/>
      <c r="Y70" s="3"/>
      <c r="AB70" s="43"/>
      <c r="AC70" s="80"/>
    </row>
    <row r="71" spans="1:29" s="4" customFormat="1" ht="11.25">
      <c r="A71" s="50">
        <v>2.04</v>
      </c>
      <c r="B71" s="3"/>
      <c r="C71" s="3"/>
      <c r="D71" s="3" t="s">
        <v>119</v>
      </c>
      <c r="E71" s="3" t="s">
        <v>120</v>
      </c>
      <c r="F71" s="64">
        <f>3*30.4</f>
        <v>91.19999999999999</v>
      </c>
      <c r="G71" s="57" t="s">
        <v>77</v>
      </c>
      <c r="H71" s="13"/>
      <c r="I71" s="13">
        <f t="shared" si="27"/>
        <v>0</v>
      </c>
      <c r="J71" s="13">
        <f t="shared" si="26"/>
        <v>0</v>
      </c>
      <c r="K71" s="13"/>
      <c r="L71" s="13">
        <f t="shared" si="28"/>
        <v>0</v>
      </c>
      <c r="M71" s="65">
        <f>223.1*12</f>
        <v>2677.2</v>
      </c>
      <c r="N71" s="13">
        <f t="shared" si="29"/>
        <v>244160.63999999996</v>
      </c>
      <c r="O71" s="13"/>
      <c r="P71" s="13">
        <f t="shared" si="30"/>
        <v>0</v>
      </c>
      <c r="Q71" s="38"/>
      <c r="R71" s="13">
        <f t="shared" si="31"/>
        <v>0</v>
      </c>
      <c r="S71" s="13">
        <f t="shared" si="32"/>
        <v>244160.63999999996</v>
      </c>
      <c r="T71" s="38">
        <v>0.25</v>
      </c>
      <c r="U71" s="13">
        <f t="shared" si="33"/>
        <v>61040.15999999999</v>
      </c>
      <c r="V71" s="13">
        <f t="shared" si="34"/>
        <v>305200.79999999993</v>
      </c>
      <c r="W71" s="3"/>
      <c r="X71" s="3"/>
      <c r="Y71" s="3"/>
      <c r="AB71" s="43"/>
      <c r="AC71" s="80"/>
    </row>
    <row r="72" spans="1:29" s="4" customFormat="1" ht="22.5">
      <c r="A72" s="50">
        <v>2.05</v>
      </c>
      <c r="B72" s="3"/>
      <c r="C72" s="3"/>
      <c r="D72" s="3" t="s">
        <v>47</v>
      </c>
      <c r="E72" s="3" t="s">
        <v>108</v>
      </c>
      <c r="F72" s="64"/>
      <c r="G72" s="2"/>
      <c r="H72" s="13"/>
      <c r="I72" s="13">
        <f t="shared" si="27"/>
        <v>0</v>
      </c>
      <c r="J72" s="13">
        <f t="shared" si="26"/>
        <v>0</v>
      </c>
      <c r="K72" s="13"/>
      <c r="L72" s="13">
        <f t="shared" si="28"/>
        <v>0</v>
      </c>
      <c r="M72" s="13"/>
      <c r="N72" s="13">
        <f t="shared" si="29"/>
        <v>0</v>
      </c>
      <c r="O72" s="13"/>
      <c r="P72" s="13">
        <f t="shared" si="30"/>
        <v>0</v>
      </c>
      <c r="Q72" s="38"/>
      <c r="R72" s="13">
        <f t="shared" si="31"/>
        <v>0</v>
      </c>
      <c r="S72" s="13">
        <f t="shared" si="32"/>
        <v>0</v>
      </c>
      <c r="T72" s="38"/>
      <c r="U72" s="13">
        <f t="shared" si="33"/>
        <v>0</v>
      </c>
      <c r="V72" s="13">
        <f t="shared" si="34"/>
        <v>0</v>
      </c>
      <c r="W72" s="3"/>
      <c r="X72" s="3"/>
      <c r="Y72" s="3"/>
      <c r="AB72" s="43"/>
      <c r="AC72" s="80"/>
    </row>
    <row r="73" spans="1:29" s="4" customFormat="1" ht="11.25">
      <c r="A73" s="50">
        <v>2.06</v>
      </c>
      <c r="B73" s="3"/>
      <c r="C73" s="3"/>
      <c r="D73" s="3" t="s">
        <v>48</v>
      </c>
      <c r="E73" s="3" t="s">
        <v>108</v>
      </c>
      <c r="F73" s="64"/>
      <c r="G73" s="2"/>
      <c r="H73" s="13"/>
      <c r="I73" s="13">
        <f t="shared" si="27"/>
        <v>0</v>
      </c>
      <c r="J73" s="13">
        <f t="shared" si="26"/>
        <v>0</v>
      </c>
      <c r="K73" s="13"/>
      <c r="L73" s="13">
        <f t="shared" si="28"/>
        <v>0</v>
      </c>
      <c r="M73" s="13"/>
      <c r="N73" s="13">
        <f t="shared" si="29"/>
        <v>0</v>
      </c>
      <c r="O73" s="13"/>
      <c r="P73" s="13">
        <f t="shared" si="30"/>
        <v>0</v>
      </c>
      <c r="Q73" s="38"/>
      <c r="R73" s="13">
        <f t="shared" si="31"/>
        <v>0</v>
      </c>
      <c r="S73" s="13">
        <f t="shared" si="32"/>
        <v>0</v>
      </c>
      <c r="T73" s="38"/>
      <c r="U73" s="13">
        <f t="shared" si="33"/>
        <v>0</v>
      </c>
      <c r="V73" s="13">
        <f t="shared" si="34"/>
        <v>0</v>
      </c>
      <c r="W73" s="3"/>
      <c r="X73" s="3"/>
      <c r="Y73" s="3"/>
      <c r="AB73" s="43"/>
      <c r="AC73" s="80"/>
    </row>
    <row r="74" spans="1:29" s="4" customFormat="1" ht="11.25">
      <c r="A74" s="50">
        <v>2.07</v>
      </c>
      <c r="B74" s="3"/>
      <c r="C74" s="3"/>
      <c r="D74" s="3" t="s">
        <v>49</v>
      </c>
      <c r="E74" s="3" t="s">
        <v>108</v>
      </c>
      <c r="F74" s="64"/>
      <c r="G74" s="2"/>
      <c r="H74" s="13"/>
      <c r="I74" s="13">
        <f t="shared" si="27"/>
        <v>0</v>
      </c>
      <c r="J74" s="13">
        <f t="shared" si="26"/>
        <v>0</v>
      </c>
      <c r="K74" s="13"/>
      <c r="L74" s="13">
        <f t="shared" si="28"/>
        <v>0</v>
      </c>
      <c r="M74" s="13"/>
      <c r="N74" s="13">
        <f t="shared" si="29"/>
        <v>0</v>
      </c>
      <c r="O74" s="13"/>
      <c r="P74" s="13">
        <f t="shared" si="30"/>
        <v>0</v>
      </c>
      <c r="Q74" s="38"/>
      <c r="R74" s="13">
        <f t="shared" si="31"/>
        <v>0</v>
      </c>
      <c r="S74" s="13">
        <f t="shared" si="32"/>
        <v>0</v>
      </c>
      <c r="T74" s="38"/>
      <c r="U74" s="13">
        <f t="shared" si="33"/>
        <v>0</v>
      </c>
      <c r="V74" s="13">
        <f t="shared" si="34"/>
        <v>0</v>
      </c>
      <c r="W74" s="3"/>
      <c r="X74" s="3"/>
      <c r="Y74" s="3"/>
      <c r="AB74" s="43"/>
      <c r="AC74" s="80"/>
    </row>
    <row r="75" spans="1:29" s="4" customFormat="1" ht="49.5" customHeight="1">
      <c r="A75" s="50">
        <v>2.08</v>
      </c>
      <c r="B75" s="3"/>
      <c r="C75" s="3"/>
      <c r="D75" s="3" t="s">
        <v>50</v>
      </c>
      <c r="E75" s="3" t="s">
        <v>99</v>
      </c>
      <c r="F75" s="64">
        <f>(40*6)</f>
        <v>240</v>
      </c>
      <c r="G75" s="57" t="s">
        <v>93</v>
      </c>
      <c r="H75" s="13"/>
      <c r="I75" s="13">
        <f>F75*H75</f>
        <v>0</v>
      </c>
      <c r="J75" s="13">
        <f t="shared" si="26"/>
        <v>0</v>
      </c>
      <c r="K75" s="13"/>
      <c r="L75" s="13">
        <f>F75*K75</f>
        <v>0</v>
      </c>
      <c r="M75" s="62">
        <f>984+(2*80)</f>
        <v>1144</v>
      </c>
      <c r="N75" s="13">
        <f>F75*M75</f>
        <v>274560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274560</v>
      </c>
      <c r="T75" s="38">
        <v>0.25</v>
      </c>
      <c r="U75" s="13">
        <f>S75*T75</f>
        <v>68640</v>
      </c>
      <c r="V75" s="13">
        <f>S75+U75</f>
        <v>343200</v>
      </c>
      <c r="W75" s="3"/>
      <c r="X75" s="3"/>
      <c r="Y75" s="3"/>
      <c r="AB75" s="43"/>
      <c r="AC75" s="80"/>
    </row>
    <row r="76" spans="1:29" s="4" customFormat="1" ht="11.25">
      <c r="A76" s="50">
        <v>2.09</v>
      </c>
      <c r="B76" s="3"/>
      <c r="C76" s="3"/>
      <c r="D76" s="3" t="s">
        <v>51</v>
      </c>
      <c r="E76" s="3" t="s">
        <v>108</v>
      </c>
      <c r="F76" s="64"/>
      <c r="G76" s="2"/>
      <c r="H76" s="13"/>
      <c r="I76" s="13">
        <f>F76*H76</f>
        <v>0</v>
      </c>
      <c r="J76" s="13">
        <f t="shared" si="26"/>
        <v>0</v>
      </c>
      <c r="K76" s="13"/>
      <c r="L76" s="13">
        <f>F76*K76</f>
        <v>0</v>
      </c>
      <c r="M76" s="13"/>
      <c r="N76" s="13">
        <f>F76*M76</f>
        <v>0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0</v>
      </c>
      <c r="T76" s="38"/>
      <c r="U76" s="13">
        <f>S76*T76</f>
        <v>0</v>
      </c>
      <c r="V76" s="13">
        <f>S76+U76</f>
        <v>0</v>
      </c>
      <c r="W76" s="3"/>
      <c r="X76" s="3"/>
      <c r="Y76" s="3"/>
      <c r="AB76" s="43"/>
      <c r="AC76" s="80"/>
    </row>
    <row r="77" spans="1:29" s="4" customFormat="1" ht="11.25">
      <c r="A77" s="50">
        <v>2.1</v>
      </c>
      <c r="B77" s="3"/>
      <c r="C77" s="3"/>
      <c r="D77" s="3" t="s">
        <v>52</v>
      </c>
      <c r="E77" s="3" t="s">
        <v>118</v>
      </c>
      <c r="F77" s="64">
        <v>6</v>
      </c>
      <c r="G77" s="57" t="s">
        <v>123</v>
      </c>
      <c r="H77" s="13"/>
      <c r="I77" s="13">
        <f>F77*H77</f>
        <v>0</v>
      </c>
      <c r="J77" s="13">
        <f t="shared" si="26"/>
        <v>0</v>
      </c>
      <c r="K77" s="13"/>
      <c r="L77" s="13">
        <f>F77*K77</f>
        <v>0</v>
      </c>
      <c r="M77" s="62">
        <v>9361.68</v>
      </c>
      <c r="N77" s="13">
        <f>F77*M77</f>
        <v>56170.08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56170.08</v>
      </c>
      <c r="T77" s="38">
        <v>0.25</v>
      </c>
      <c r="U77" s="13">
        <f>S77*T77</f>
        <v>14042.52</v>
      </c>
      <c r="V77" s="13">
        <f>S77+U77</f>
        <v>70212.6</v>
      </c>
      <c r="W77" s="3"/>
      <c r="X77" s="3"/>
      <c r="Y77" s="3"/>
      <c r="AB77" s="43"/>
      <c r="AC77" s="80"/>
    </row>
    <row r="78" spans="1:29" s="4" customFormat="1" ht="11.25">
      <c r="A78" s="50">
        <v>2.11</v>
      </c>
      <c r="B78" s="3"/>
      <c r="C78" s="3"/>
      <c r="D78" s="3" t="s">
        <v>53</v>
      </c>
      <c r="E78" s="3" t="s">
        <v>108</v>
      </c>
      <c r="F78" s="64"/>
      <c r="G78" s="2"/>
      <c r="H78" s="13"/>
      <c r="I78" s="13">
        <f>F78*H78</f>
        <v>0</v>
      </c>
      <c r="J78" s="13">
        <f t="shared" si="26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0"/>
    </row>
    <row r="79" spans="1:29" s="4" customFormat="1" ht="11.25">
      <c r="A79" s="50">
        <v>2.12</v>
      </c>
      <c r="B79" s="3"/>
      <c r="C79" s="3"/>
      <c r="D79" s="3" t="s">
        <v>54</v>
      </c>
      <c r="E79" s="3" t="s">
        <v>108</v>
      </c>
      <c r="F79" s="64"/>
      <c r="G79" s="2"/>
      <c r="H79" s="13"/>
      <c r="I79" s="13">
        <f>F79*H79</f>
        <v>0</v>
      </c>
      <c r="J79" s="13">
        <f t="shared" si="26"/>
        <v>0</v>
      </c>
      <c r="K79" s="13"/>
      <c r="L79" s="13">
        <f>F79*K79</f>
        <v>0</v>
      </c>
      <c r="M79" s="13"/>
      <c r="N79" s="13">
        <f>F79*M79</f>
        <v>0</v>
      </c>
      <c r="O79" s="13"/>
      <c r="P79" s="13">
        <f>F79*O79</f>
        <v>0</v>
      </c>
      <c r="Q79" s="38"/>
      <c r="R79" s="13">
        <f>(J79+L79+N79+P79)*Q79</f>
        <v>0</v>
      </c>
      <c r="S79" s="13">
        <f>J79+L79+N79+P79+R79</f>
        <v>0</v>
      </c>
      <c r="T79" s="38"/>
      <c r="U79" s="13">
        <f>S79*T79</f>
        <v>0</v>
      </c>
      <c r="V79" s="13">
        <f>S79+U79</f>
        <v>0</v>
      </c>
      <c r="W79" s="3"/>
      <c r="X79" s="3"/>
      <c r="Y79" s="3"/>
      <c r="AB79" s="43"/>
      <c r="AC79" s="80"/>
    </row>
    <row r="80" spans="1:29" s="4" customFormat="1" ht="11.25">
      <c r="A80" s="50">
        <v>2.13</v>
      </c>
      <c r="B80" s="3"/>
      <c r="C80" s="3"/>
      <c r="D80" s="3" t="s">
        <v>55</v>
      </c>
      <c r="E80" s="3" t="s">
        <v>108</v>
      </c>
      <c r="F80" s="64"/>
      <c r="G80" s="2"/>
      <c r="H80" s="13"/>
      <c r="I80" s="13">
        <f t="shared" si="27"/>
        <v>0</v>
      </c>
      <c r="J80" s="13">
        <f t="shared" si="26"/>
        <v>0</v>
      </c>
      <c r="K80" s="13"/>
      <c r="L80" s="13">
        <f t="shared" si="28"/>
        <v>0</v>
      </c>
      <c r="M80" s="13"/>
      <c r="N80" s="13">
        <f t="shared" si="29"/>
        <v>0</v>
      </c>
      <c r="O80" s="13"/>
      <c r="P80" s="13">
        <f t="shared" si="30"/>
        <v>0</v>
      </c>
      <c r="Q80" s="38"/>
      <c r="R80" s="13">
        <f t="shared" si="31"/>
        <v>0</v>
      </c>
      <c r="S80" s="13">
        <f t="shared" si="32"/>
        <v>0</v>
      </c>
      <c r="T80" s="38"/>
      <c r="U80" s="13">
        <f t="shared" si="33"/>
        <v>0</v>
      </c>
      <c r="V80" s="13">
        <f t="shared" si="34"/>
        <v>0</v>
      </c>
      <c r="W80" s="3"/>
      <c r="X80" s="3"/>
      <c r="Y80" s="3"/>
      <c r="AB80" s="43"/>
      <c r="AC80" s="80"/>
    </row>
    <row r="81" spans="1:29" s="4" customFormat="1" ht="22.5">
      <c r="A81" s="50">
        <v>2.14</v>
      </c>
      <c r="B81" s="3"/>
      <c r="C81" s="3"/>
      <c r="D81" s="3" t="s">
        <v>56</v>
      </c>
      <c r="E81" s="3"/>
      <c r="F81" s="66">
        <v>0.02</v>
      </c>
      <c r="G81" s="57"/>
      <c r="H81" s="13"/>
      <c r="I81" s="13">
        <f t="shared" si="27"/>
        <v>0</v>
      </c>
      <c r="J81" s="13">
        <f t="shared" si="26"/>
        <v>0</v>
      </c>
      <c r="K81" s="13"/>
      <c r="L81" s="13">
        <f t="shared" si="28"/>
        <v>0</v>
      </c>
      <c r="M81" s="62">
        <f>S64</f>
        <v>8521696.785362963</v>
      </c>
      <c r="N81" s="13">
        <f t="shared" si="29"/>
        <v>170433.93570725925</v>
      </c>
      <c r="O81" s="13"/>
      <c r="P81" s="13">
        <f t="shared" si="30"/>
        <v>0</v>
      </c>
      <c r="Q81" s="38"/>
      <c r="R81" s="13">
        <f t="shared" si="31"/>
        <v>0</v>
      </c>
      <c r="S81" s="13">
        <f t="shared" si="32"/>
        <v>170433.93570725925</v>
      </c>
      <c r="T81" s="38">
        <v>0.25</v>
      </c>
      <c r="U81" s="13">
        <f t="shared" si="33"/>
        <v>42608.48392681481</v>
      </c>
      <c r="V81" s="13">
        <f t="shared" si="34"/>
        <v>213042.41963407406</v>
      </c>
      <c r="W81" s="3"/>
      <c r="X81" s="3"/>
      <c r="Y81" s="3"/>
      <c r="AB81" s="43"/>
      <c r="AC81" s="80"/>
    </row>
    <row r="82" spans="1:29" s="4" customFormat="1" ht="22.5">
      <c r="A82" s="50">
        <v>2.15</v>
      </c>
      <c r="B82" s="3"/>
      <c r="C82" s="3"/>
      <c r="D82" s="3" t="s">
        <v>63</v>
      </c>
      <c r="E82" s="3"/>
      <c r="F82" s="66">
        <v>0.02</v>
      </c>
      <c r="G82" s="2"/>
      <c r="H82" s="13"/>
      <c r="I82" s="13">
        <f t="shared" si="27"/>
        <v>0</v>
      </c>
      <c r="J82" s="13">
        <f t="shared" si="26"/>
        <v>0</v>
      </c>
      <c r="K82" s="13"/>
      <c r="L82" s="13">
        <f t="shared" si="28"/>
        <v>0</v>
      </c>
      <c r="M82" s="62">
        <f>S64</f>
        <v>8521696.785362963</v>
      </c>
      <c r="N82" s="13">
        <f t="shared" si="29"/>
        <v>170433.93570725925</v>
      </c>
      <c r="O82" s="13"/>
      <c r="P82" s="13">
        <f t="shared" si="30"/>
        <v>0</v>
      </c>
      <c r="Q82" s="38"/>
      <c r="R82" s="13">
        <f t="shared" si="31"/>
        <v>0</v>
      </c>
      <c r="S82" s="13">
        <f t="shared" si="32"/>
        <v>170433.93570725925</v>
      </c>
      <c r="T82" s="38">
        <v>0.25</v>
      </c>
      <c r="U82" s="13">
        <f t="shared" si="33"/>
        <v>42608.48392681481</v>
      </c>
      <c r="V82" s="13">
        <f t="shared" si="34"/>
        <v>213042.41963407406</v>
      </c>
      <c r="W82" s="3"/>
      <c r="X82" s="3"/>
      <c r="Y82" s="3"/>
      <c r="AB82" s="43"/>
      <c r="AC82" s="80"/>
    </row>
    <row r="83" spans="1:29" s="4" customFormat="1" ht="11.25">
      <c r="A83" s="50">
        <v>2.16</v>
      </c>
      <c r="B83" s="3"/>
      <c r="C83" s="3"/>
      <c r="D83" s="3" t="s">
        <v>57</v>
      </c>
      <c r="E83" s="3" t="s">
        <v>108</v>
      </c>
      <c r="F83" s="64"/>
      <c r="G83" s="2"/>
      <c r="H83" s="13"/>
      <c r="I83" s="13">
        <f t="shared" si="27"/>
        <v>0</v>
      </c>
      <c r="J83" s="13">
        <f t="shared" si="26"/>
        <v>0</v>
      </c>
      <c r="K83" s="13"/>
      <c r="L83" s="13">
        <f t="shared" si="28"/>
        <v>0</v>
      </c>
      <c r="M83" s="13"/>
      <c r="N83" s="13">
        <f t="shared" si="29"/>
        <v>0</v>
      </c>
      <c r="O83" s="13"/>
      <c r="P83" s="13">
        <f t="shared" si="30"/>
        <v>0</v>
      </c>
      <c r="Q83" s="38"/>
      <c r="R83" s="13">
        <f t="shared" si="31"/>
        <v>0</v>
      </c>
      <c r="S83" s="13">
        <f t="shared" si="32"/>
        <v>0</v>
      </c>
      <c r="T83" s="38"/>
      <c r="U83" s="13">
        <f t="shared" si="33"/>
        <v>0</v>
      </c>
      <c r="V83" s="13">
        <f t="shared" si="34"/>
        <v>0</v>
      </c>
      <c r="W83" s="3"/>
      <c r="X83" s="3"/>
      <c r="Y83" s="3"/>
      <c r="AB83" s="43"/>
      <c r="AC83" s="80"/>
    </row>
    <row r="84" spans="1:29" s="4" customFormat="1" ht="11.25">
      <c r="A84" s="50">
        <v>2.17</v>
      </c>
      <c r="B84" s="3"/>
      <c r="C84" s="3"/>
      <c r="D84" s="3" t="s">
        <v>58</v>
      </c>
      <c r="E84" s="3" t="s">
        <v>108</v>
      </c>
      <c r="F84" s="64"/>
      <c r="G84" s="2"/>
      <c r="H84" s="13"/>
      <c r="I84" s="13">
        <f t="shared" si="27"/>
        <v>0</v>
      </c>
      <c r="J84" s="13">
        <f t="shared" si="26"/>
        <v>0</v>
      </c>
      <c r="K84" s="13"/>
      <c r="L84" s="13">
        <f t="shared" si="28"/>
        <v>0</v>
      </c>
      <c r="M84" s="13"/>
      <c r="N84" s="13">
        <f t="shared" si="29"/>
        <v>0</v>
      </c>
      <c r="O84" s="13"/>
      <c r="P84" s="13">
        <f t="shared" si="30"/>
        <v>0</v>
      </c>
      <c r="Q84" s="38"/>
      <c r="R84" s="13">
        <f t="shared" si="31"/>
        <v>0</v>
      </c>
      <c r="S84" s="13">
        <f t="shared" si="32"/>
        <v>0</v>
      </c>
      <c r="T84" s="38"/>
      <c r="U84" s="13">
        <f t="shared" si="33"/>
        <v>0</v>
      </c>
      <c r="V84" s="13">
        <f t="shared" si="34"/>
        <v>0</v>
      </c>
      <c r="W84" s="3"/>
      <c r="X84" s="3"/>
      <c r="Y84" s="3"/>
      <c r="AB84" s="43"/>
      <c r="AC84" s="80"/>
    </row>
    <row r="85" spans="2:29" s="14" customFormat="1" ht="24.75" customHeight="1">
      <c r="B85" s="120" t="s">
        <v>39</v>
      </c>
      <c r="C85" s="121"/>
      <c r="D85" s="121"/>
      <c r="E85" s="121"/>
      <c r="F85" s="121"/>
      <c r="G85" s="121"/>
      <c r="H85" s="122"/>
      <c r="I85" s="36">
        <f>SUM(I68:I84)</f>
        <v>0</v>
      </c>
      <c r="J85" s="36">
        <f>SUM(J68:J84)</f>
        <v>0</v>
      </c>
      <c r="K85" s="35"/>
      <c r="L85" s="36">
        <f>SUM(L68:L84)</f>
        <v>0</v>
      </c>
      <c r="M85" s="35"/>
      <c r="N85" s="36">
        <f>SUM(N68:N84)</f>
        <v>3579758.294975408</v>
      </c>
      <c r="O85" s="35"/>
      <c r="P85" s="36">
        <f>SUM(P68:P84)</f>
        <v>0</v>
      </c>
      <c r="Q85" s="41">
        <f>R85/S85</f>
        <v>0</v>
      </c>
      <c r="R85" s="36">
        <f>SUM(R68:R84)</f>
        <v>0</v>
      </c>
      <c r="S85" s="36">
        <f>SUM(S68:S84)</f>
        <v>3579758.294975408</v>
      </c>
      <c r="T85" s="41">
        <f>U85/S85</f>
        <v>0.25</v>
      </c>
      <c r="U85" s="36">
        <f>SUM(U68:U84)</f>
        <v>894939.573743852</v>
      </c>
      <c r="V85" s="36">
        <f>SUM(V68:V84)</f>
        <v>4474697.868719259</v>
      </c>
      <c r="W85" s="4"/>
      <c r="X85" s="4"/>
      <c r="Y85" s="4"/>
      <c r="AB85" s="81"/>
      <c r="AC85" s="80"/>
    </row>
    <row r="86" spans="2:29" s="4" customFormat="1" ht="4.5" customHeight="1">
      <c r="B86" s="45"/>
      <c r="C86" s="45"/>
      <c r="D86" s="45"/>
      <c r="E86" s="45"/>
      <c r="F86" s="46"/>
      <c r="G86" s="61"/>
      <c r="H86" s="46"/>
      <c r="I86" s="46"/>
      <c r="J86" s="46"/>
      <c r="K86" s="46"/>
      <c r="L86" s="46"/>
      <c r="M86" s="46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45"/>
      <c r="Y86" s="45"/>
      <c r="AB86" s="43"/>
      <c r="AC86" s="80"/>
    </row>
    <row r="87" spans="2:29" s="4" customFormat="1" ht="11.25">
      <c r="B87" s="49" t="s">
        <v>40</v>
      </c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0"/>
    </row>
    <row r="88" spans="2:29" s="4" customFormat="1" ht="4.5" customHeight="1">
      <c r="B88" s="45"/>
      <c r="C88" s="45"/>
      <c r="D88" s="45"/>
      <c r="E88" s="45"/>
      <c r="F88" s="46"/>
      <c r="G88" s="61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46"/>
      <c r="S88" s="46"/>
      <c r="T88" s="47"/>
      <c r="U88" s="46"/>
      <c r="V88" s="46"/>
      <c r="W88" s="45"/>
      <c r="X88" s="45"/>
      <c r="Y88" s="45"/>
      <c r="AB88" s="43"/>
      <c r="AC88" s="80"/>
    </row>
    <row r="89" spans="1:29" s="4" customFormat="1" ht="11.25">
      <c r="A89" s="50">
        <v>3.01</v>
      </c>
      <c r="B89" s="3"/>
      <c r="C89" s="3"/>
      <c r="D89" s="3" t="s">
        <v>42</v>
      </c>
      <c r="E89" s="3"/>
      <c r="F89" s="66">
        <v>0.1</v>
      </c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65">
        <f>S64+S85</f>
        <v>12101455.08033837</v>
      </c>
      <c r="N89" s="13">
        <f>F89*M89</f>
        <v>1210145.508033837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1210145.508033837</v>
      </c>
      <c r="T89" s="38">
        <v>0.25</v>
      </c>
      <c r="U89" s="13">
        <f>S89*T89</f>
        <v>302536.37700845924</v>
      </c>
      <c r="V89" s="13">
        <f>S89+U89</f>
        <v>1512681.8850422963</v>
      </c>
      <c r="W89" s="3"/>
      <c r="X89" s="3"/>
      <c r="Y89" s="3"/>
      <c r="AB89" s="43"/>
      <c r="AC89" s="80"/>
    </row>
    <row r="90" spans="1:29" s="4" customFormat="1" ht="11.25">
      <c r="A90" s="50">
        <v>3.02</v>
      </c>
      <c r="B90" s="3"/>
      <c r="C90" s="3"/>
      <c r="D90" s="3" t="s">
        <v>32</v>
      </c>
      <c r="E90" s="3"/>
      <c r="F90" s="13"/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13"/>
      <c r="N90" s="13">
        <f>F90*M90</f>
        <v>0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0</v>
      </c>
      <c r="T90" s="38"/>
      <c r="U90" s="13">
        <f>S90*T90</f>
        <v>0</v>
      </c>
      <c r="V90" s="13">
        <f>S90+U90</f>
        <v>0</v>
      </c>
      <c r="W90" s="3"/>
      <c r="X90" s="3"/>
      <c r="Y90" s="3"/>
      <c r="AB90" s="43"/>
      <c r="AC90" s="80"/>
    </row>
    <row r="91" spans="1:29" s="4" customFormat="1" ht="11.25">
      <c r="A91" s="50">
        <v>3.03</v>
      </c>
      <c r="B91" s="3"/>
      <c r="C91" s="3"/>
      <c r="D91" s="3" t="s">
        <v>36</v>
      </c>
      <c r="E91" s="3"/>
      <c r="F91" s="13"/>
      <c r="G91" s="2"/>
      <c r="H91" s="13"/>
      <c r="I91" s="13">
        <f>F91*H91</f>
        <v>0</v>
      </c>
      <c r="J91" s="13">
        <f>I91*$L$8</f>
        <v>0</v>
      </c>
      <c r="K91" s="13"/>
      <c r="L91" s="13">
        <f>F91*K91</f>
        <v>0</v>
      </c>
      <c r="M91" s="13"/>
      <c r="N91" s="13">
        <f>F91*M91</f>
        <v>0</v>
      </c>
      <c r="O91" s="13"/>
      <c r="P91" s="13">
        <f>F91*O91</f>
        <v>0</v>
      </c>
      <c r="Q91" s="38"/>
      <c r="R91" s="13">
        <f>(J91+L91+N91+P91)*Q91</f>
        <v>0</v>
      </c>
      <c r="S91" s="13">
        <f>J91+L91+N91+P91+R91</f>
        <v>0</v>
      </c>
      <c r="T91" s="38"/>
      <c r="U91" s="13">
        <f>S91*T91</f>
        <v>0</v>
      </c>
      <c r="V91" s="13">
        <f>S91+U91</f>
        <v>0</v>
      </c>
      <c r="W91" s="3"/>
      <c r="X91" s="3"/>
      <c r="Y91" s="3"/>
      <c r="AB91" s="43"/>
      <c r="AC91" s="80"/>
    </row>
    <row r="92" spans="2:29" s="14" customFormat="1" ht="24.75" customHeight="1">
      <c r="B92" s="120" t="s">
        <v>41</v>
      </c>
      <c r="C92" s="121"/>
      <c r="D92" s="121"/>
      <c r="E92" s="121"/>
      <c r="F92" s="121"/>
      <c r="G92" s="121"/>
      <c r="H92" s="122"/>
      <c r="I92" s="36">
        <f>SUM(I89:I91)</f>
        <v>0</v>
      </c>
      <c r="J92" s="36">
        <f>SUM(J89:J91)</f>
        <v>0</v>
      </c>
      <c r="K92" s="35"/>
      <c r="L92" s="36">
        <f>SUM(L89:L91)</f>
        <v>0</v>
      </c>
      <c r="M92" s="35"/>
      <c r="N92" s="36">
        <f>SUM(N89:N91)</f>
        <v>1210145.508033837</v>
      </c>
      <c r="O92" s="35"/>
      <c r="P92" s="36">
        <f>SUM(P89:P91)</f>
        <v>0</v>
      </c>
      <c r="Q92" s="41">
        <f>R92/S92</f>
        <v>0</v>
      </c>
      <c r="R92" s="36">
        <f>SUM(R89:R91)</f>
        <v>0</v>
      </c>
      <c r="S92" s="36">
        <f>SUM(S89:S91)</f>
        <v>1210145.508033837</v>
      </c>
      <c r="T92" s="41">
        <f>U92/S92</f>
        <v>0.25</v>
      </c>
      <c r="U92" s="36">
        <f>SUM(U89:U91)</f>
        <v>302536.37700845924</v>
      </c>
      <c r="V92" s="36">
        <f>SUM(V89:V91)</f>
        <v>1512681.8850422963</v>
      </c>
      <c r="W92" s="4"/>
      <c r="X92" s="4"/>
      <c r="Y92" s="4"/>
      <c r="AB92" s="83"/>
      <c r="AC92" s="80"/>
    </row>
    <row r="93" spans="7:29" s="4" customFormat="1" ht="11.25">
      <c r="G93" s="12"/>
      <c r="AB93" s="43"/>
      <c r="AC93" s="80"/>
    </row>
    <row r="94" spans="2:29" s="14" customFormat="1" ht="24.75" customHeight="1">
      <c r="B94" s="120" t="s">
        <v>44</v>
      </c>
      <c r="C94" s="121"/>
      <c r="D94" s="121"/>
      <c r="E94" s="121"/>
      <c r="F94" s="121"/>
      <c r="G94" s="121"/>
      <c r="H94" s="122"/>
      <c r="I94" s="36"/>
      <c r="J94" s="36"/>
      <c r="K94" s="35"/>
      <c r="L94" s="36"/>
      <c r="M94" s="35"/>
      <c r="N94" s="36"/>
      <c r="O94" s="35"/>
      <c r="P94" s="36"/>
      <c r="Q94" s="41"/>
      <c r="R94" s="36"/>
      <c r="S94" s="36">
        <f>S64+S85+S92</f>
        <v>13311600.588372206</v>
      </c>
      <c r="T94" s="41">
        <f>U94/S94</f>
        <v>0.25</v>
      </c>
      <c r="U94" s="36">
        <f>U64+U85+U92</f>
        <v>3327900.1470930516</v>
      </c>
      <c r="V94" s="36">
        <f>V64+V85+V92</f>
        <v>16639500.73546526</v>
      </c>
      <c r="W94" s="4"/>
      <c r="X94" s="4"/>
      <c r="Y94" s="4"/>
      <c r="AB94" s="81"/>
      <c r="AC94" s="85"/>
    </row>
    <row r="95" spans="7:29" s="4" customFormat="1" ht="11.25">
      <c r="G95" s="12"/>
      <c r="AB95" s="43"/>
      <c r="AC95" s="80"/>
    </row>
    <row r="96" spans="7:29" s="4" customFormat="1" ht="11.25">
      <c r="G96" s="12"/>
      <c r="AB96" s="43"/>
      <c r="AC96" s="80"/>
    </row>
    <row r="97" spans="3:29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  <c r="AB97" s="43"/>
      <c r="AC97" s="80"/>
    </row>
    <row r="98" spans="3:29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43"/>
      <c r="AC98" s="80"/>
    </row>
    <row r="99" spans="3:29" s="4" customFormat="1" ht="11.25">
      <c r="C99" s="1"/>
      <c r="D99" s="1"/>
      <c r="E99" s="1"/>
      <c r="F99" s="1"/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1"/>
      <c r="AB99" s="43"/>
      <c r="AC99" s="80"/>
    </row>
    <row r="100" spans="7:29" s="4" customFormat="1" ht="11.25">
      <c r="G100" s="12"/>
      <c r="AB100" s="43"/>
      <c r="AC100" s="80"/>
    </row>
    <row r="101" spans="7:29" s="4" customFormat="1" ht="11.25">
      <c r="G101" s="12"/>
      <c r="AB101" s="43"/>
      <c r="AC101" s="80"/>
    </row>
    <row r="102" spans="7:29" s="4" customFormat="1" ht="11.25">
      <c r="G102" s="12"/>
      <c r="AB102" s="43"/>
      <c r="AC102" s="80"/>
    </row>
    <row r="103" spans="7:29" s="4" customFormat="1" ht="11.25">
      <c r="G103" s="12"/>
      <c r="AB103" s="43"/>
      <c r="AC103" s="80"/>
    </row>
    <row r="104" spans="7:29" s="4" customFormat="1" ht="11.25">
      <c r="G104" s="12"/>
      <c r="AB104" s="43"/>
      <c r="AC104" s="80"/>
    </row>
    <row r="105" spans="7:29" s="4" customFormat="1" ht="11.25">
      <c r="G105" s="12"/>
      <c r="AB105" s="43"/>
      <c r="AC105" s="80"/>
    </row>
    <row r="106" spans="7:29" s="4" customFormat="1" ht="11.25">
      <c r="G106" s="12"/>
      <c r="AB106" s="43"/>
      <c r="AC106" s="80"/>
    </row>
    <row r="107" spans="7:29" s="4" customFormat="1" ht="11.25">
      <c r="G107" s="12"/>
      <c r="AB107" s="43"/>
      <c r="AC107" s="80"/>
    </row>
    <row r="108" spans="7:29" s="4" customFormat="1" ht="11.25">
      <c r="G108" s="12"/>
      <c r="AB108" s="43"/>
      <c r="AC108" s="80"/>
    </row>
    <row r="109" spans="7:29" s="4" customFormat="1" ht="11.25">
      <c r="G109" s="12"/>
      <c r="AB109" s="43"/>
      <c r="AC109" s="80"/>
    </row>
    <row r="110" spans="7:29" s="4" customFormat="1" ht="11.25">
      <c r="G110" s="12"/>
      <c r="AB110" s="43"/>
      <c r="AC110" s="80"/>
    </row>
    <row r="111" spans="7:29" s="4" customFormat="1" ht="11.25">
      <c r="G111" s="12"/>
      <c r="AB111" s="43"/>
      <c r="AC111" s="80"/>
    </row>
    <row r="112" spans="7:29" s="4" customFormat="1" ht="11.25">
      <c r="G112" s="12"/>
      <c r="AB112" s="43"/>
      <c r="AC112" s="80"/>
    </row>
    <row r="113" spans="7:29" s="4" customFormat="1" ht="11.25">
      <c r="G113" s="12"/>
      <c r="AB113" s="43"/>
      <c r="AC113" s="80"/>
    </row>
    <row r="114" spans="7:29" s="4" customFormat="1" ht="11.25">
      <c r="G114" s="12"/>
      <c r="AB114" s="43"/>
      <c r="AC114" s="80"/>
    </row>
    <row r="115" spans="7:29" s="4" customFormat="1" ht="11.25">
      <c r="G115" s="12"/>
      <c r="AB115" s="43"/>
      <c r="AC115" s="80"/>
    </row>
    <row r="116" spans="7:29" s="4" customFormat="1" ht="11.25">
      <c r="G116" s="12"/>
      <c r="AB116" s="43"/>
      <c r="AC116" s="80"/>
    </row>
    <row r="117" spans="7:29" s="4" customFormat="1" ht="11.25">
      <c r="G117" s="12"/>
      <c r="AB117" s="43"/>
      <c r="AC117" s="80"/>
    </row>
    <row r="118" spans="7:29" s="4" customFormat="1" ht="11.25">
      <c r="G118" s="12"/>
      <c r="AB118" s="43"/>
      <c r="AC118" s="80"/>
    </row>
    <row r="119" spans="7:29" s="4" customFormat="1" ht="11.25">
      <c r="G119" s="12"/>
      <c r="AB119" s="43"/>
      <c r="AC119" s="80"/>
    </row>
    <row r="120" spans="7:29" s="4" customFormat="1" ht="11.25">
      <c r="G120" s="12"/>
      <c r="AB120" s="43"/>
      <c r="AC120" s="80"/>
    </row>
    <row r="121" spans="7:29" s="4" customFormat="1" ht="11.25">
      <c r="G121" s="12"/>
      <c r="AB121" s="43"/>
      <c r="AC121" s="80"/>
    </row>
  </sheetData>
  <sheetProtection/>
  <mergeCells count="4">
    <mergeCell ref="B64:H64"/>
    <mergeCell ref="B85:H85"/>
    <mergeCell ref="B92:H92"/>
    <mergeCell ref="B94:H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2"/>
  <sheetViews>
    <sheetView zoomScalePageLayoutView="0" workbookViewId="0" topLeftCell="A1">
      <selection activeCell="D34" sqref="D34:E40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21" style="0" customWidth="1"/>
  </cols>
  <sheetData>
    <row r="3" spans="2:4" ht="11.25">
      <c r="B3" s="88" t="s">
        <v>160</v>
      </c>
      <c r="C3" s="87"/>
      <c r="D3" s="91"/>
    </row>
    <row r="4" spans="2:4" ht="11.25">
      <c r="B4" s="88" t="s">
        <v>146</v>
      </c>
      <c r="C4" s="88" t="s">
        <v>147</v>
      </c>
      <c r="D4" s="91" t="s">
        <v>159</v>
      </c>
    </row>
    <row r="5" spans="2:4" ht="11.25">
      <c r="B5" s="86" t="s">
        <v>155</v>
      </c>
      <c r="C5" s="87"/>
      <c r="D5" s="92">
        <v>481669.76</v>
      </c>
    </row>
    <row r="6" spans="2:4" ht="11.25">
      <c r="B6" s="86" t="s">
        <v>156</v>
      </c>
      <c r="C6" s="87"/>
      <c r="D6" s="92">
        <v>1349155.5724808562</v>
      </c>
    </row>
    <row r="7" spans="2:4" ht="11.25">
      <c r="B7" s="86" t="s">
        <v>154</v>
      </c>
      <c r="C7" s="87"/>
      <c r="D7" s="92">
        <v>539904</v>
      </c>
    </row>
    <row r="8" spans="2:4" ht="11.25">
      <c r="B8" s="86" t="s">
        <v>149</v>
      </c>
      <c r="C8" s="87"/>
      <c r="D8" s="92">
        <v>1413724.4199</v>
      </c>
    </row>
    <row r="9" spans="2:4" ht="11.25">
      <c r="B9" s="86" t="s">
        <v>152</v>
      </c>
      <c r="C9" s="87"/>
      <c r="D9" s="92">
        <v>285615</v>
      </c>
    </row>
    <row r="10" spans="2:4" ht="11.25">
      <c r="B10" s="86" t="s">
        <v>150</v>
      </c>
      <c r="C10" s="87"/>
      <c r="D10" s="92">
        <v>38445.63035608889</v>
      </c>
    </row>
    <row r="11" spans="2:4" ht="11.25">
      <c r="B11" s="86" t="s">
        <v>151</v>
      </c>
      <c r="C11" s="87"/>
      <c r="D11" s="92">
        <v>293451.33800399996</v>
      </c>
    </row>
    <row r="12" spans="2:4" ht="11.25">
      <c r="B12" s="86" t="s">
        <v>153</v>
      </c>
      <c r="C12" s="87"/>
      <c r="D12" s="92">
        <v>514361.95279999997</v>
      </c>
    </row>
    <row r="13" spans="2:4" ht="11.25">
      <c r="B13" s="86" t="s">
        <v>148</v>
      </c>
      <c r="C13" s="87"/>
      <c r="D13" s="92">
        <v>109863.72513777777</v>
      </c>
    </row>
    <row r="14" spans="2:4" ht="11.25">
      <c r="B14" s="86" t="s">
        <v>157</v>
      </c>
      <c r="C14" s="87"/>
      <c r="D14" s="92">
        <v>0</v>
      </c>
    </row>
    <row r="15" spans="2:4" ht="11.25">
      <c r="B15" s="89" t="s">
        <v>158</v>
      </c>
      <c r="C15" s="90"/>
      <c r="D15" s="93">
        <v>5026191.398678723</v>
      </c>
    </row>
    <row r="18" spans="2:5" ht="11.25">
      <c r="B18" s="94"/>
      <c r="C18" s="95" t="s">
        <v>161</v>
      </c>
      <c r="D18" s="96"/>
      <c r="E18" s="95" t="s">
        <v>161</v>
      </c>
    </row>
    <row r="19" spans="2:5" ht="11.25">
      <c r="B19" s="97" t="s">
        <v>146</v>
      </c>
      <c r="C19" s="97" t="s">
        <v>162</v>
      </c>
      <c r="D19" s="98" t="s">
        <v>159</v>
      </c>
      <c r="E19" s="97" t="s">
        <v>163</v>
      </c>
    </row>
    <row r="20" spans="2:5" ht="11.25">
      <c r="B20" s="99" t="s">
        <v>155</v>
      </c>
      <c r="C20" s="99"/>
      <c r="D20" s="100">
        <f>GETPIVOTDATA("labour cost",$B$3,"type of labour","Camp  Op &amp; Maintenance")</f>
        <v>481669.76</v>
      </c>
      <c r="E20" s="101">
        <f>D20/$D$29</f>
        <v>0.09583195739951737</v>
      </c>
    </row>
    <row r="21" spans="2:5" ht="11.25">
      <c r="B21" s="99" t="s">
        <v>156</v>
      </c>
      <c r="C21" s="99"/>
      <c r="D21" s="100">
        <f>GETPIVOTDATA("labour cost",$B$3,"type of labour","Engineering")</f>
        <v>1349155.5724808562</v>
      </c>
      <c r="E21" s="101">
        <f aca="true" t="shared" si="0" ref="E21:E28">D21/$D$29</f>
        <v>0.26842502910564053</v>
      </c>
    </row>
    <row r="22" spans="2:5" ht="11.25">
      <c r="B22" s="99" t="s">
        <v>154</v>
      </c>
      <c r="C22" s="99"/>
      <c r="D22" s="100">
        <f>GETPIVOTDATA("labour cost",$B$3,"type of labour","Equip Maintenance")</f>
        <v>539904</v>
      </c>
      <c r="E22" s="101">
        <f t="shared" si="0"/>
        <v>0.10741811387085838</v>
      </c>
    </row>
    <row r="23" spans="2:5" ht="11.25">
      <c r="B23" s="99" t="s">
        <v>149</v>
      </c>
      <c r="C23" s="99"/>
      <c r="D23" s="100">
        <f>GETPIVOTDATA("labour cost",$B$3,"type of labour","Equip Op")</f>
        <v>1413724.4199</v>
      </c>
      <c r="E23" s="101">
        <f t="shared" si="0"/>
        <v>0.2812715051543078</v>
      </c>
    </row>
    <row r="24" spans="2:5" ht="11.25">
      <c r="B24" s="99" t="s">
        <v>152</v>
      </c>
      <c r="C24" s="99"/>
      <c r="D24" s="100">
        <f>GETPIVOTDATA("labour cost",$B$3,"type of labour","Equip Op / Equip Maintenance")</f>
        <v>285615</v>
      </c>
      <c r="E24" s="101">
        <f t="shared" si="0"/>
        <v>0.05682533300961878</v>
      </c>
    </row>
    <row r="25" spans="2:5" ht="11.25">
      <c r="B25" s="99" t="s">
        <v>150</v>
      </c>
      <c r="C25" s="99"/>
      <c r="D25" s="100">
        <f>GETPIVOTDATA("labour cost",$B$3,"type of labour","Equip Op / Labour")</f>
        <v>38445.63035608889</v>
      </c>
      <c r="E25" s="101">
        <f t="shared" si="0"/>
        <v>0.0076490581648353895</v>
      </c>
    </row>
    <row r="26" spans="2:5" ht="11.25">
      <c r="B26" s="99" t="s">
        <v>151</v>
      </c>
      <c r="C26" s="99"/>
      <c r="D26" s="100">
        <f>GETPIVOTDATA("labour cost",$B$3,"type of labour","Equip Op / Welders / Labour")</f>
        <v>293451.33800399996</v>
      </c>
      <c r="E26" s="101">
        <f t="shared" si="0"/>
        <v>0.0583844336053621</v>
      </c>
    </row>
    <row r="27" spans="2:5" ht="11.25">
      <c r="B27" s="99" t="s">
        <v>153</v>
      </c>
      <c r="C27" s="99"/>
      <c r="D27" s="100">
        <f>GETPIVOTDATA("labour cost",$B$3,"type of labour","Labour")</f>
        <v>514361.95279999997</v>
      </c>
      <c r="E27" s="101">
        <f t="shared" si="0"/>
        <v>0.10233632426636491</v>
      </c>
    </row>
    <row r="28" spans="2:5" ht="11.25">
      <c r="B28" s="99" t="s">
        <v>148</v>
      </c>
      <c r="C28" s="99"/>
      <c r="D28" s="100">
        <f>GETPIVOTDATA("labour cost",$B$3,"type of labour","Truck Driver")</f>
        <v>109863.72513777777</v>
      </c>
      <c r="E28" s="101">
        <f t="shared" si="0"/>
        <v>0.02185824542349473</v>
      </c>
    </row>
    <row r="29" spans="2:5" ht="11.25">
      <c r="B29" s="102" t="s">
        <v>158</v>
      </c>
      <c r="C29" s="103"/>
      <c r="D29" s="104">
        <f>SUM(D20:D28)</f>
        <v>5026191.398678723</v>
      </c>
      <c r="E29" s="105">
        <f>SUM(E20:E28)</f>
        <v>0.9999999999999999</v>
      </c>
    </row>
    <row r="32" spans="2:5" ht="11.25">
      <c r="B32" s="102" t="s">
        <v>160</v>
      </c>
      <c r="C32" s="106"/>
      <c r="D32" s="107"/>
      <c r="E32" s="108"/>
    </row>
    <row r="33" spans="2:5" ht="11.25">
      <c r="B33" s="109" t="str">
        <f>B19</f>
        <v>type of labour</v>
      </c>
      <c r="C33" s="106"/>
      <c r="D33" s="110" t="str">
        <f>D19</f>
        <v>Total</v>
      </c>
      <c r="E33" s="111" t="s">
        <v>164</v>
      </c>
    </row>
    <row r="34" spans="2:5" ht="11.25">
      <c r="B34" s="99" t="s">
        <v>149</v>
      </c>
      <c r="C34" s="112"/>
      <c r="D34" s="100">
        <f>D23+(D24*0.6)+(D25*0.5)+(D26*0.4)</f>
        <v>1721696.7702796445</v>
      </c>
      <c r="E34" s="113">
        <f aca="true" t="shared" si="1" ref="E34:E39">D34/$D$40</f>
        <v>0.3425450074846416</v>
      </c>
    </row>
    <row r="35" spans="2:5" ht="11.25">
      <c r="B35" s="99" t="s">
        <v>153</v>
      </c>
      <c r="C35" s="112"/>
      <c r="D35" s="100">
        <f>D27+(D25*0.5)+(D26*0.6)</f>
        <v>709655.5707804444</v>
      </c>
      <c r="E35" s="113">
        <f t="shared" si="1"/>
        <v>0.14119151351199988</v>
      </c>
    </row>
    <row r="36" spans="2:5" ht="11.25">
      <c r="B36" s="99" t="s">
        <v>148</v>
      </c>
      <c r="C36" s="112"/>
      <c r="D36" s="100">
        <f>D28</f>
        <v>109863.72513777777</v>
      </c>
      <c r="E36" s="113">
        <f t="shared" si="1"/>
        <v>0.02185824542349473</v>
      </c>
    </row>
    <row r="37" spans="2:5" ht="11.25">
      <c r="B37" s="99" t="s">
        <v>154</v>
      </c>
      <c r="C37" s="112"/>
      <c r="D37" s="100">
        <f>D22+(D24*0.4)</f>
        <v>654150</v>
      </c>
      <c r="E37" s="113">
        <f t="shared" si="1"/>
        <v>0.1301482470747059</v>
      </c>
    </row>
    <row r="38" spans="2:5" ht="11.25">
      <c r="B38" s="99" t="s">
        <v>165</v>
      </c>
      <c r="C38" s="112"/>
      <c r="D38" s="100">
        <f>D20</f>
        <v>481669.76</v>
      </c>
      <c r="E38" s="113">
        <f t="shared" si="1"/>
        <v>0.09583195739951737</v>
      </c>
    </row>
    <row r="39" spans="2:5" ht="11.25">
      <c r="B39" s="99" t="s">
        <v>156</v>
      </c>
      <c r="C39" s="112"/>
      <c r="D39" s="100">
        <f>D21</f>
        <v>1349155.5724808562</v>
      </c>
      <c r="E39" s="113">
        <f t="shared" si="1"/>
        <v>0.26842502910564053</v>
      </c>
    </row>
    <row r="40" spans="2:5" ht="11.25">
      <c r="B40" s="103" t="s">
        <v>159</v>
      </c>
      <c r="C40" s="114"/>
      <c r="D40" s="115">
        <f>SUM(D34:D39)</f>
        <v>5026191.398678723</v>
      </c>
      <c r="E40" s="116">
        <f>SUM(E34:E39)</f>
        <v>1</v>
      </c>
    </row>
    <row r="42" ht="11.25">
      <c r="B42" s="117" t="s">
        <v>166</v>
      </c>
    </row>
  </sheetData>
  <sheetProtection/>
  <dataValidations count="1">
    <dataValidation type="list" allowBlank="1" showInputMessage="1" showErrorMessage="1" sqref="B20">
      <formula1>$B$23:$B$31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2014-03-28T18:28:35Z</cp:lastPrinted>
  <dcterms:created xsi:type="dcterms:W3CDTF">1998-12-07T19:56:09Z</dcterms:created>
  <dcterms:modified xsi:type="dcterms:W3CDTF">2014-03-28T18:28:43Z</dcterms:modified>
  <cp:category/>
  <cp:version/>
  <cp:contentType/>
  <cp:contentStatus/>
</cp:coreProperties>
</file>