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666" yWindow="60" windowWidth="19440" windowHeight="8580" tabRatio="522" activeTab="1"/>
  </bookViews>
  <sheets>
    <sheet name="Summary" sheetId="1" r:id="rId1"/>
    <sheet name="Detail Costs" sheetId="2" r:id="rId2"/>
    <sheet name="Basis of Estimate" sheetId="3" r:id="rId3"/>
  </sheets>
  <externalReferences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Costs'!$B$3:$V$60</definedName>
    <definedName name="_xlnm.Print_Titles" localSheetId="2">'Basis of Estimate'!$3:$12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2">#REF!</definedName>
    <definedName name="Zone_impres_MI" localSheetId="0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<sst xmlns="http://schemas.openxmlformats.org/spreadsheetml/2006/main" count="179" uniqueCount="154">
  <si>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</si>
  <si>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</si>
  <si>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</si>
  <si>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</si>
  <si>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</si>
  <si>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</si>
  <si>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</si>
  <si>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</si>
  <si>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</si>
  <si>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</si>
  <si>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</si>
  <si>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</si>
  <si>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</si>
  <si>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</si>
  <si>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</si>
  <si>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</si>
  <si>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</si>
  <si>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</si>
  <si>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</si>
  <si>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</si>
  <si>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</si>
  <si>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</si>
  <si>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</si>
  <si>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</si>
  <si>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</si>
  <si>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</si>
  <si>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</si>
  <si>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</si>
  <si>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</si>
  <si>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</si>
  <si>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USE hourly rate: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</si>
  <si>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</si>
  <si>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</si>
  <si>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</si>
  <si>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</si>
  <si>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</si>
  <si>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</si>
  <si>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</si>
  <si>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</si>
  <si>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</si>
  <si>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</si>
  <si>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</si>
  <si>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</si>
  <si>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</si>
  <si>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</si>
  <si>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</si>
  <si>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</si>
  <si>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</si>
  <si>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</si>
  <si>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</si>
  <si>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</si>
  <si>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</si>
  <si>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</si>
  <si>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</si>
  <si>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</si>
  <si>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</si>
  <si>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</si>
  <si>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</si>
  <si>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</si>
  <si>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</si>
  <si>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</si>
  <si>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</si>
  <si>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</si>
  <si>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</si>
  <si>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</si>
  <si>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</si>
  <si>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</si>
  <si>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</si>
  <si>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SNOW REMOVAL</t>
  </si>
  <si>
    <t>MDY</t>
  </si>
  <si>
    <t>Equipment Mob / Demob</t>
  </si>
  <si>
    <t>Day</t>
  </si>
  <si>
    <t>EA</t>
  </si>
  <si>
    <t>Maintenance work</t>
  </si>
  <si>
    <t>Bobcat &amp; Loader + 6men</t>
  </si>
  <si>
    <t>Round Trip</t>
  </si>
  <si>
    <t>BASIS OF ESTIMATE</t>
  </si>
  <si>
    <t>PROJECT DETAILS:</t>
  </si>
  <si>
    <t>PROJ # (GBS):</t>
  </si>
  <si>
    <t>DOC NUMBER:</t>
  </si>
  <si>
    <t>ACCURACY LEVEL:</t>
  </si>
  <si>
    <t>SCOPE OF ESTIMATE:</t>
  </si>
  <si>
    <t>REFERENCE DOCUMENTS:</t>
  </si>
  <si>
    <t>KEY QUALIFICATIONS</t>
  </si>
  <si>
    <t>Utilized Equipment:</t>
  </si>
  <si>
    <t xml:space="preserve"> - All heavy equipment, camp and facilities will be able to cross the river via existing ferry or ice bridge.</t>
  </si>
  <si>
    <t xml:space="preserve"> - All equipment, camp and facilities will be able to be demobilized from site after completion of the project.</t>
  </si>
  <si>
    <t>ASSUMPTIONS OF COST ESTIMATE</t>
  </si>
  <si>
    <t>EXCLUSIONS FROM COST ESTIMATE</t>
  </si>
  <si>
    <t xml:space="preserve"> - Clearing &amp; grubbing over waste dump excavation area.</t>
  </si>
  <si>
    <t xml:space="preserve"> - Dewatering</t>
  </si>
  <si>
    <t xml:space="preserve"> - Demolition, removal, disposal and/or relocation of existing structures and facilities.</t>
  </si>
  <si>
    <t xml:space="preserve"> - Costs related to environmental habitat compensation and social impacts.</t>
  </si>
  <si>
    <t xml:space="preserve"> - Extended periods of industrial / labour unrest.</t>
  </si>
  <si>
    <t xml:space="preserve"> - All permitting and associated costs.</t>
  </si>
  <si>
    <t xml:space="preserve"> - Construction insurance</t>
  </si>
  <si>
    <t xml:space="preserve"> - Escalation</t>
  </si>
  <si>
    <t xml:space="preserve"> - All Owners costs</t>
  </si>
  <si>
    <t xml:space="preserve"> - All taxes and duties</t>
  </si>
  <si>
    <t>QUANTITY DERIVATION</t>
  </si>
  <si>
    <t xml:space="preserve"> - Material take-offs provided by engineering discipline(s) and the estimator.</t>
  </si>
  <si>
    <t>COST BASIS</t>
  </si>
  <si>
    <t xml:space="preserve"> - Earthwork rates derived from minning models and built-up earthwork calculations utiliziting BC Road Builder rates and historical data. </t>
  </si>
  <si>
    <t xml:space="preserve"> - Diesel fuel rate of $1.60/liter allowed for all earthwork based on Yukon Government - Energy, Mines and Resources, surveyed October 30, 2013. </t>
  </si>
  <si>
    <t>- Fuel consumption rates and maintainence costs obtained from historic data or interpolated.</t>
  </si>
  <si>
    <t>LABOUR RATES</t>
  </si>
  <si>
    <t xml:space="preserve"> - Average operator rate of approximately $50/hr allowed for within all earthwork unit costs. Based on AB CLRA Collective Agreements (2011 - 2015).</t>
  </si>
  <si>
    <t>INDIRECTS:</t>
  </si>
  <si>
    <t xml:space="preserve"> - Contractor indirect costs have been included within all direct costs.</t>
  </si>
  <si>
    <t>Gabion drop structures repair.</t>
  </si>
  <si>
    <t xml:space="preserve"> - Workforce will be flown into Dawson City from Edmonton, AB, then by chartered bus to site.</t>
  </si>
  <si>
    <t xml:space="preserve"> - Rates include all labour and equipment costs to operate and maintain equipment, including all contractor overhead, profit and indirects; supervision, survey, support equipment.</t>
  </si>
  <si>
    <t xml:space="preserve"> - Snow removal</t>
  </si>
  <si>
    <t xml:space="preserve"> - An allowance of 5% of the total direct cost has been included for contractor Temporary Facilities.</t>
  </si>
  <si>
    <t>Fuel Transportation</t>
  </si>
  <si>
    <t>Transport from Dawson City to site (approx 110km one-way).</t>
  </si>
  <si>
    <t>27,000 liter tanker</t>
  </si>
  <si>
    <t>Load</t>
  </si>
  <si>
    <t>Truck &amp; Driver</t>
  </si>
  <si>
    <t xml:space="preserve"> - Geotechnical investigations and recommendations.</t>
  </si>
  <si>
    <t xml:space="preserve"> - Email from Stephen Clark, Nov 07, 2013.</t>
  </si>
  <si>
    <t xml:space="preserve"> - Sufficient site preparations have been completed previously to accommodate camp and site facilities.</t>
  </si>
  <si>
    <t xml:space="preserve"> - First nations contracts or work agreements.</t>
  </si>
  <si>
    <t xml:space="preserve"> - Traffic safety and control to existing site road.</t>
  </si>
  <si>
    <t xml:space="preserve"> - Lost time to severe weather or force majeure.</t>
  </si>
  <si>
    <t>Whitehorse to Dawson City 1,284km. Dawson City to Site approx 110km. Bobcat, Loader.</t>
  </si>
  <si>
    <t xml:space="preserve"> - 1ea - bob cat, 1ea - wheel loader.</t>
  </si>
  <si>
    <t xml:space="preserve"> - All equipment mobilized to site from Whitehorse, YT through Dawson City.</t>
  </si>
  <si>
    <t xml:space="preserve"> - Drill &amp; blast, sorting/screening and load and hauling from quarry to site.</t>
  </si>
  <si>
    <t xml:space="preserve"> - Environmental monitoring</t>
  </si>
  <si>
    <t xml:space="preserve"> - Work will commence using 40hr work week, with 14 days on and 7 days off.</t>
  </si>
  <si>
    <t xml:space="preserve"> - A 10 man temporary camp has been allowed for the duration of the work. Camp costs were estimated from quotes and historical data base.</t>
  </si>
  <si>
    <t>4 return trips x 7 men. Edm to Dawson City (Flight) to Site  (Charter Bus).</t>
  </si>
  <si>
    <t xml:space="preserve"> - 10 man camp has been allowed for to accommodate all contractor, engineering and owner field personnel for 66 day construction period.</t>
  </si>
  <si>
    <t xml:space="preserve"> - Flights for a 7 man turnaround every two weeks for 66 days has been allowed for site personnel.</t>
  </si>
  <si>
    <t xml:space="preserve"> - All required aggregates will been produced and stock-piled on-site previously.</t>
  </si>
  <si>
    <t>Drop Structures (12ea):</t>
  </si>
  <si>
    <t xml:space="preserve">Construction cost estimate to provide repairs to 12 drop structures. Indirect costs such as camp, monitoring and travel were also included. </t>
  </si>
  <si>
    <t xml:space="preserve"> - All work will be performed over 66 day period in the summer, no down time has been factored into costs.</t>
  </si>
  <si>
    <t>Assessment and Abandoned Mines</t>
  </si>
  <si>
    <t>Subcontract Costs/Unit ($)</t>
  </si>
  <si>
    <t>SubcontractTotal ($)</t>
  </si>
  <si>
    <t>Gabion rock material</t>
  </si>
  <si>
    <t>10% of original rock volume replaced</t>
  </si>
  <si>
    <t>M3</t>
  </si>
  <si>
    <t>n/a</t>
  </si>
  <si>
    <t>RV rental, 2men per unit + per diem. 10men x 66 days.</t>
  </si>
  <si>
    <t>Clinton Creek Site LCCA - Repair 12 Drop Structures</t>
  </si>
  <si>
    <t>Asbestos Control</t>
  </si>
  <si>
    <t>Equipment washdown equip &amp; labour</t>
  </si>
  <si>
    <t>Assume existing building of 1ea - 80'x120' temprorary building , 300mm SOG. 1ea - 4.5 GPM pressure washers w/ 600Gal tanks, 2man hours / day.</t>
  </si>
  <si>
    <t>Equipment / vehicle heppa filters,</t>
  </si>
  <si>
    <t>LS</t>
  </si>
  <si>
    <t>PPE; respirators, overalls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</si>
</sst>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 * #,##0.00_)\ _$_ ;_ * \(#,##0.00\)\ _$_ ;_ * &quot;-&quot;??_)\ _$_ ;_ @_ "/>
    <numFmt numFmtId="206" formatCode="_([$€-2]* #,##0.00_);_([$€-2]* \(#,##0.00\);_([$€-2]* &quot;-&quot;??_)"/>
  </numFmts>
  <fonts count="70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8"/>
      <color indexed="30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1"/>
      <color indexed="3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8"/>
      <color rgb="FF0070C0"/>
      <name val="Arial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i/>
      <sz val="11"/>
      <color rgb="FF0070C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14" fillId="36" borderId="1" applyNumberFormat="0" applyAlignment="0" applyProtection="0"/>
    <xf numFmtId="0" fontId="50" fillId="37" borderId="2" applyNumberFormat="0" applyAlignment="0" applyProtection="0"/>
    <xf numFmtId="0" fontId="13" fillId="0" borderId="3" applyNumberFormat="0" applyFill="0" applyAlignment="0" applyProtection="0"/>
    <xf numFmtId="0" fontId="51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67" fontId="4" fillId="0" borderId="0">
      <alignment/>
      <protection locked="0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40" borderId="2" applyNumberFormat="0" applyAlignment="0" applyProtection="0"/>
    <xf numFmtId="0" fontId="58" fillId="40" borderId="2" applyNumberFormat="0" applyAlignment="0" applyProtection="0"/>
    <xf numFmtId="0" fontId="16" fillId="41" borderId="0" applyNumberFormat="0" applyBorder="0" applyAlignment="0" applyProtection="0"/>
    <xf numFmtId="0" fontId="59" fillId="0" borderId="8" applyNumberFormat="0" applyFill="0" applyAlignment="0" applyProtection="0"/>
    <xf numFmtId="200" fontId="3" fillId="0" borderId="0" applyFont="0" applyFill="0" applyBorder="0" applyAlignment="0" applyProtection="0"/>
    <xf numFmtId="0" fontId="60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62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64" fillId="44" borderId="10">
      <alignment horizontal="center"/>
      <protection/>
    </xf>
    <xf numFmtId="0" fontId="24" fillId="45" borderId="16" applyNumberFormat="0" applyAlignment="0" applyProtection="0"/>
    <xf numFmtId="0" fontId="6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4" fontId="26" fillId="0" borderId="0" xfId="63" applyNumberFormat="1" applyFont="1" applyFill="1" applyAlignment="1">
      <alignment horizontal="right" vertical="center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4" fontId="0" fillId="0" borderId="17" xfId="68" applyFont="1" applyFill="1" applyBorder="1" applyAlignment="1">
      <alignment horizontal="righ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26" fillId="0" borderId="17" xfId="63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29" fillId="0" borderId="0" xfId="81" applyFont="1" applyFill="1" applyBorder="1" applyAlignment="1" applyProtection="1">
      <alignment vertical="center"/>
      <protection/>
    </xf>
    <xf numFmtId="0" fontId="31" fillId="36" borderId="27" xfId="0" applyFont="1" applyFill="1" applyBorder="1" applyAlignment="1">
      <alignment vertical="center"/>
    </xf>
    <xf numFmtId="0" fontId="31" fillId="36" borderId="28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66" fillId="36" borderId="27" xfId="0" applyFont="1" applyFill="1" applyBorder="1" applyAlignment="1">
      <alignment vertical="center"/>
    </xf>
    <xf numFmtId="0" fontId="66" fillId="36" borderId="28" xfId="0" applyFont="1" applyFill="1" applyBorder="1" applyAlignment="1">
      <alignment vertical="center"/>
    </xf>
    <xf numFmtId="0" fontId="3" fillId="0" borderId="27" xfId="93" applyFill="1" applyBorder="1" applyAlignment="1">
      <alignment vertical="center"/>
      <protection/>
    </xf>
    <xf numFmtId="0" fontId="3" fillId="0" borderId="28" xfId="93" applyFill="1" applyBorder="1" applyAlignment="1">
      <alignment vertical="center"/>
      <protection/>
    </xf>
    <xf numFmtId="0" fontId="3" fillId="0" borderId="0" xfId="93" applyFill="1">
      <alignment/>
      <protection/>
    </xf>
    <xf numFmtId="165" fontId="0" fillId="0" borderId="17" xfId="63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0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7" fillId="0" borderId="0" xfId="86" applyFont="1" applyFill="1" applyBorder="1" applyAlignment="1">
      <alignment horizontal="left" vertical="center"/>
    </xf>
    <xf numFmtId="0" fontId="67" fillId="0" borderId="0" xfId="86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9" fontId="0" fillId="0" borderId="17" xfId="101" applyFont="1" applyFill="1" applyBorder="1" applyAlignment="1">
      <alignment horizontal="center" vertical="center" wrapText="1"/>
    </xf>
    <xf numFmtId="165" fontId="0" fillId="0" borderId="17" xfId="63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  <xf numFmtId="0" fontId="67" fillId="0" borderId="0" xfId="86" applyFont="1" applyFill="1" applyBorder="1" applyAlignment="1">
      <alignment horizontal="left" vertical="center"/>
    </xf>
    <xf numFmtId="0" fontId="66" fillId="0" borderId="29" xfId="0" applyFont="1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67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7" fillId="47" borderId="0" xfId="86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67" fillId="0" borderId="0" xfId="86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0" xfId="87" applyFont="1" applyFill="1" applyBorder="1" applyAlignment="1" quotePrefix="1">
      <alignment horizontal="left" vertical="center" wrapText="1"/>
    </xf>
    <xf numFmtId="0" fontId="67" fillId="0" borderId="0" xfId="87" applyFont="1" applyFill="1" applyBorder="1" applyAlignment="1">
      <alignment horizontal="left" vertical="center" wrapText="1"/>
    </xf>
    <xf numFmtId="14" fontId="30" fillId="0" borderId="0" xfId="86" applyNumberFormat="1" applyFont="1" applyFill="1" applyBorder="1" applyAlignment="1" quotePrefix="1">
      <alignment horizontal="left" vertical="center"/>
    </xf>
    <xf numFmtId="14" fontId="30" fillId="0" borderId="0" xfId="86" applyNumberFormat="1" applyFont="1" applyFill="1" applyBorder="1" applyAlignment="1">
      <alignment horizontal="left" vertical="center"/>
    </xf>
    <xf numFmtId="0" fontId="30" fillId="0" borderId="0" xfId="86" applyFont="1" applyFill="1" applyBorder="1" applyAlignment="1">
      <alignment horizontal="left" vertical="center"/>
    </xf>
    <xf numFmtId="0" fontId="69" fillId="0" borderId="0" xfId="86" applyFont="1" applyFill="1" applyBorder="1" applyAlignment="1">
      <alignment horizontal="left" vertical="center"/>
    </xf>
    <xf numFmtId="0" fontId="30" fillId="0" borderId="0" xfId="86" applyFont="1" applyFill="1" applyBorder="1" applyAlignment="1" quotePrefix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495300</xdr:colOff>
      <xdr:row>2</xdr:row>
      <xdr:rowOff>114300</xdr:rowOff>
    </xdr:from>
    <xdr:to>
      <xdr:col>21</xdr:col>
      <xdr:colOff>771525</xdr:colOff>
      <xdr:row>5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39925" y="400050"/>
          <a:ext cx="1924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19050</xdr:rowOff>
    </xdr:from>
    <xdr:to>
      <xdr:col>7</xdr:col>
      <xdr:colOff>133350</xdr:colOff>
      <xdr:row>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9050"/>
          <a:ext cx="1533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07071-00895-Clinton%20Creek%20LCCA-Option%20B-2111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07071-00895-Clinton%20Creek%20LCCA-Maintenance%20Rock%20Development%20Estimate-2211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 Costs"/>
      <sheetName val="Basis of Estimate"/>
      <sheetName val="WP Estimate Class Matrix"/>
    </sheetNames>
    <sheetDataSet>
      <sheetData sheetId="1">
        <row r="7">
          <cell r="D7" t="str">
            <v>307071-00895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 Costs"/>
    </sheetNames>
    <sheetDataSet>
      <sheetData sheetId="1">
        <row r="57">
          <cell r="V57">
            <v>175.02520900000002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26" sqref="E2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3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6" t="str">
        <f ca="1">CELL("filename",A1)</f>
        <v>U:\YVR\307071\00895_YEMR_ClintonCrk\02_Rpts\11_Eng-Tech_Rpt_and_Studies\307071-00895-00-WR-REP-0001_Rev0\Excel and CAD files\Appendix 3\Clinton OPEX\[307071-00895-Clinton Creek LCCA-DS Repair 12ea-15012014.xls]Summary</v>
      </c>
    </row>
    <row r="2" ht="11.25">
      <c r="E2" s="6"/>
    </row>
    <row r="3" spans="2:5" ht="12.75">
      <c r="B3" s="7" t="s">
        <v>61</v>
      </c>
      <c r="E3" s="6"/>
    </row>
    <row r="4" ht="11.25"/>
    <row r="5" spans="2:5" ht="15.75" customHeight="1">
      <c r="B5" s="27" t="s">
        <v>7</v>
      </c>
      <c r="C5" s="8" t="str">
        <f>'Detail Costs'!D5</f>
        <v>Assessment and Abandoned Mines</v>
      </c>
      <c r="D5" s="30" t="s">
        <v>9</v>
      </c>
      <c r="E5" s="52">
        <f>'Detail Costs'!F5</f>
        <v>41726</v>
      </c>
    </row>
    <row r="6" spans="2:5" ht="15.75" customHeight="1">
      <c r="B6" s="25" t="s">
        <v>8</v>
      </c>
      <c r="C6" s="8" t="str">
        <f>'Detail Costs'!D6</f>
        <v>Clinton Creek Site LCCA - Repair 12 Drop Structures</v>
      </c>
      <c r="D6" s="30" t="s">
        <v>25</v>
      </c>
      <c r="E6" s="52" t="str">
        <f>'Detail Costs'!F6</f>
        <v> +/-50%</v>
      </c>
    </row>
    <row r="7" spans="2:5" ht="15.75" customHeight="1">
      <c r="B7" s="25" t="s">
        <v>12</v>
      </c>
      <c r="C7" s="59" t="str">
        <f>'Detail Costs'!D7</f>
        <v>307071-00895</v>
      </c>
      <c r="D7" s="30" t="s">
        <v>10</v>
      </c>
      <c r="E7" s="52" t="str">
        <f>'Detail Costs'!F7</f>
        <v>MW</v>
      </c>
    </row>
    <row r="8" spans="2:5" ht="15.75" customHeight="1">
      <c r="B8" s="28" t="s">
        <v>11</v>
      </c>
      <c r="C8" s="11"/>
      <c r="D8" s="30" t="s">
        <v>13</v>
      </c>
      <c r="E8" s="53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4"/>
    </row>
    <row r="12" spans="2:5" s="4" customFormat="1" ht="15" customHeight="1">
      <c r="B12" s="56">
        <v>1</v>
      </c>
      <c r="C12" s="38" t="s">
        <v>31</v>
      </c>
      <c r="D12" s="38"/>
      <c r="E12" s="35">
        <f>ROUND('Detail Costs'!S31,-3)</f>
        <v>652000</v>
      </c>
    </row>
    <row r="13" spans="2:5" s="4" customFormat="1" ht="15" customHeight="1">
      <c r="B13" s="2"/>
      <c r="C13" s="38"/>
      <c r="D13" s="38"/>
      <c r="E13" s="35"/>
    </row>
    <row r="14" spans="2:8" s="4" customFormat="1" ht="15" customHeight="1">
      <c r="B14" s="56">
        <v>2</v>
      </c>
      <c r="C14" s="38" t="s">
        <v>32</v>
      </c>
      <c r="D14" s="40"/>
      <c r="E14" s="35">
        <f>ROUND('Detail Costs'!S51,-3)</f>
        <v>242000</v>
      </c>
      <c r="H14" s="43"/>
    </row>
    <row r="15" spans="2:5" s="4" customFormat="1" ht="15" customHeight="1">
      <c r="B15" s="2"/>
      <c r="C15" s="38"/>
      <c r="D15" s="38"/>
      <c r="E15" s="35"/>
    </row>
    <row r="16" spans="2:8" s="4" customFormat="1" ht="15" customHeight="1">
      <c r="B16" s="56">
        <v>3.01</v>
      </c>
      <c r="C16" s="38" t="s">
        <v>34</v>
      </c>
      <c r="D16" s="41"/>
      <c r="E16" s="35">
        <f>ROUND('Detail Costs'!S55,-3)</f>
        <v>89000</v>
      </c>
      <c r="H16" s="43"/>
    </row>
    <row r="17" spans="2:5" s="4" customFormat="1" ht="15" customHeight="1">
      <c r="B17" s="2"/>
      <c r="C17" s="38"/>
      <c r="D17" s="38"/>
      <c r="E17" s="35"/>
    </row>
    <row r="18" spans="2:8" s="4" customFormat="1" ht="15" customHeight="1">
      <c r="B18" s="56">
        <v>3.02</v>
      </c>
      <c r="C18" s="38" t="s">
        <v>33</v>
      </c>
      <c r="D18" s="41"/>
      <c r="E18" s="35">
        <f>ROUND('Detail Costs'!S56,-3)</f>
        <v>0</v>
      </c>
      <c r="H18" s="43"/>
    </row>
    <row r="19" spans="2:5" s="4" customFormat="1" ht="15" customHeight="1">
      <c r="B19" s="2"/>
      <c r="C19" s="3"/>
      <c r="D19" s="3"/>
      <c r="E19" s="35"/>
    </row>
    <row r="20" spans="2:5" s="4" customFormat="1" ht="15" customHeight="1">
      <c r="B20" s="56">
        <v>3.03</v>
      </c>
      <c r="C20" s="38" t="s">
        <v>37</v>
      </c>
      <c r="D20" s="41"/>
      <c r="E20" s="35">
        <f>ROUND('Detail Costs'!S57,-3)</f>
        <v>0</v>
      </c>
    </row>
    <row r="21" spans="2:5" s="4" customFormat="1" ht="15" customHeight="1">
      <c r="B21" s="2"/>
      <c r="C21" s="3"/>
      <c r="D21" s="3"/>
      <c r="E21" s="35"/>
    </row>
    <row r="22" spans="2:5" s="4" customFormat="1" ht="21.75" customHeight="1">
      <c r="B22" s="29"/>
      <c r="C22" s="29" t="s">
        <v>35</v>
      </c>
      <c r="D22" s="29"/>
      <c r="E22" s="32">
        <f>SUM(E12:E20)</f>
        <v>983000</v>
      </c>
    </row>
    <row r="23" spans="2:5" s="4" customFormat="1" ht="15" customHeight="1">
      <c r="B23" s="2"/>
      <c r="C23" s="38"/>
      <c r="D23" s="38"/>
      <c r="E23" s="35"/>
    </row>
    <row r="24" spans="2:9" s="4" customFormat="1" ht="15" customHeight="1">
      <c r="B24" s="2">
        <v>4.01</v>
      </c>
      <c r="C24" s="38" t="s">
        <v>15</v>
      </c>
      <c r="D24" s="39">
        <f>E24/E22</f>
        <v>0.25025432349949134</v>
      </c>
      <c r="E24" s="35">
        <f>ROUND('Detail Costs'!U60,-3)</f>
        <v>246000</v>
      </c>
      <c r="H24" s="43"/>
      <c r="I24" s="44"/>
    </row>
    <row r="25" spans="2:5" s="4" customFormat="1" ht="15" customHeight="1">
      <c r="B25" s="2"/>
      <c r="C25" s="3"/>
      <c r="D25" s="3"/>
      <c r="E25" s="35"/>
    </row>
    <row r="26" spans="2:5" s="4" customFormat="1" ht="21.75" customHeight="1">
      <c r="B26" s="29"/>
      <c r="C26" s="29" t="s">
        <v>28</v>
      </c>
      <c r="D26" s="29"/>
      <c r="E26" s="32">
        <f>SUM(E22:E25)</f>
        <v>1229000</v>
      </c>
    </row>
    <row r="27" s="4" customFormat="1" ht="11.25">
      <c r="E27" s="14"/>
    </row>
    <row r="28" spans="2:5" s="4" customFormat="1" ht="11.25">
      <c r="B28" s="31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tabSelected="1" zoomScale="90" zoomScaleNormal="90" zoomScalePageLayoutView="0" workbookViewId="0" topLeftCell="A1">
      <selection activeCell="F6" sqref="F6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3.16015625" style="1" customWidth="1"/>
    <col min="7" max="7" width="9" style="45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2.6601562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9.33203125" style="1" customWidth="1"/>
    <col min="25" max="25" width="9.83203125" style="1" customWidth="1"/>
    <col min="26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OPEX\[307071-00895-Clinton Creek LCCA-DS Repair 12ea-15012014.xls]Detail Costs</v>
      </c>
      <c r="E1" s="5"/>
      <c r="Q1" s="45"/>
    </row>
    <row r="2" spans="5:25" ht="11.25">
      <c r="E2" s="5"/>
      <c r="Q2" s="45"/>
      <c r="Y2" s="6"/>
    </row>
    <row r="3" spans="2:25" ht="12.75">
      <c r="B3" s="7" t="s">
        <v>60</v>
      </c>
      <c r="E3" s="5"/>
      <c r="Q3" s="45"/>
      <c r="X3" s="5"/>
      <c r="Y3" s="6"/>
    </row>
    <row r="4" spans="5:25" ht="11.25">
      <c r="E4" s="5"/>
      <c r="Q4" s="45"/>
      <c r="X4" s="5"/>
      <c r="Y4" s="33"/>
    </row>
    <row r="5" spans="2:22" ht="15.75" customHeight="1">
      <c r="B5" s="15"/>
      <c r="C5" s="18" t="s">
        <v>7</v>
      </c>
      <c r="D5" s="8" t="s">
        <v>139</v>
      </c>
      <c r="E5" s="21" t="s">
        <v>9</v>
      </c>
      <c r="F5" s="54">
        <v>41726</v>
      </c>
      <c r="G5" s="62"/>
      <c r="H5" s="10"/>
      <c r="N5" s="23"/>
      <c r="P5" s="23"/>
      <c r="Q5" s="45"/>
      <c r="S5" s="23"/>
      <c r="V5" s="23"/>
    </row>
    <row r="6" spans="2:17" ht="22.5">
      <c r="B6" s="16"/>
      <c r="C6" s="19" t="s">
        <v>8</v>
      </c>
      <c r="D6" s="69" t="s">
        <v>147</v>
      </c>
      <c r="E6" s="25" t="s">
        <v>25</v>
      </c>
      <c r="F6" s="55" t="s">
        <v>66</v>
      </c>
      <c r="G6" s="62"/>
      <c r="H6" s="10"/>
      <c r="Q6" s="45"/>
    </row>
    <row r="7" spans="2:17" ht="15.75" customHeight="1">
      <c r="B7" s="16"/>
      <c r="C7" s="19" t="s">
        <v>12</v>
      </c>
      <c r="D7" s="9" t="s">
        <v>65</v>
      </c>
      <c r="E7" s="25" t="s">
        <v>10</v>
      </c>
      <c r="F7" s="55" t="s">
        <v>67</v>
      </c>
      <c r="G7" s="62"/>
      <c r="H7" s="10"/>
      <c r="L7" s="24" t="s">
        <v>30</v>
      </c>
      <c r="M7" s="1" t="s">
        <v>63</v>
      </c>
      <c r="Q7" s="45"/>
    </row>
    <row r="8" spans="2:17" ht="15.75" customHeight="1">
      <c r="B8" s="17"/>
      <c r="C8" s="20" t="s">
        <v>11</v>
      </c>
      <c r="D8" s="11"/>
      <c r="E8" s="25" t="s">
        <v>13</v>
      </c>
      <c r="F8" s="95">
        <v>0</v>
      </c>
      <c r="G8" s="62"/>
      <c r="H8" s="10"/>
      <c r="L8" s="64">
        <v>100</v>
      </c>
      <c r="Q8" s="45"/>
    </row>
    <row r="9" ht="11.25">
      <c r="Q9" s="45"/>
    </row>
    <row r="10" spans="2:25" s="12" customFormat="1" ht="54.75" customHeight="1">
      <c r="B10" s="22" t="s">
        <v>44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140</v>
      </c>
      <c r="N10" s="22" t="s">
        <v>141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36</v>
      </c>
      <c r="T10" s="22" t="s">
        <v>21</v>
      </c>
      <c r="U10" s="22" t="s">
        <v>22</v>
      </c>
      <c r="V10" s="22" t="s">
        <v>6</v>
      </c>
      <c r="W10" s="22"/>
      <c r="X10" s="22"/>
      <c r="Y10" s="22"/>
    </row>
    <row r="11" spans="2:25" s="4" customFormat="1" ht="4.5" customHeight="1">
      <c r="B11" s="46"/>
      <c r="C11" s="46"/>
      <c r="D11" s="46"/>
      <c r="E11" s="46"/>
      <c r="F11" s="47"/>
      <c r="G11" s="63"/>
      <c r="H11" s="47"/>
      <c r="I11" s="47"/>
      <c r="J11" s="47"/>
      <c r="K11" s="47"/>
      <c r="L11" s="47"/>
      <c r="M11" s="47"/>
      <c r="N11" s="47"/>
      <c r="O11" s="47"/>
      <c r="P11" s="47"/>
      <c r="Q11" s="48"/>
      <c r="R11" s="47"/>
      <c r="S11" s="47"/>
      <c r="T11" s="48"/>
      <c r="U11" s="47"/>
      <c r="V11" s="47"/>
      <c r="W11" s="46"/>
      <c r="X11" s="61"/>
      <c r="Y11" s="46"/>
    </row>
    <row r="12" spans="2:25" s="4" customFormat="1" ht="11.25">
      <c r="B12" s="50" t="s">
        <v>39</v>
      </c>
      <c r="C12" s="46"/>
      <c r="D12" s="46"/>
      <c r="E12" s="46"/>
      <c r="F12" s="47"/>
      <c r="G12" s="63"/>
      <c r="H12" s="47"/>
      <c r="I12" s="47"/>
      <c r="J12" s="47"/>
      <c r="K12" s="47"/>
      <c r="L12" s="47"/>
      <c r="M12" s="47"/>
      <c r="N12" s="47"/>
      <c r="O12" s="47"/>
      <c r="P12" s="47"/>
      <c r="Q12" s="48"/>
      <c r="R12" s="47"/>
      <c r="S12" s="47"/>
      <c r="T12" s="48"/>
      <c r="U12" s="47"/>
      <c r="V12" s="47"/>
      <c r="W12" s="46"/>
      <c r="X12" s="61"/>
      <c r="Y12" s="46"/>
    </row>
    <row r="13" spans="2:25" s="4" customFormat="1" ht="4.5" customHeight="1">
      <c r="B13" s="46"/>
      <c r="C13" s="46"/>
      <c r="D13" s="46"/>
      <c r="E13" s="46"/>
      <c r="F13" s="47"/>
      <c r="G13" s="63"/>
      <c r="H13" s="47"/>
      <c r="I13" s="47"/>
      <c r="J13" s="47"/>
      <c r="K13" s="47"/>
      <c r="L13" s="47"/>
      <c r="M13" s="47"/>
      <c r="N13" s="47"/>
      <c r="O13" s="47"/>
      <c r="P13" s="47"/>
      <c r="Q13" s="48"/>
      <c r="R13" s="47"/>
      <c r="S13" s="47"/>
      <c r="T13" s="48"/>
      <c r="U13" s="47"/>
      <c r="V13" s="47"/>
      <c r="W13" s="46"/>
      <c r="X13" s="61"/>
      <c r="Y13" s="46"/>
    </row>
    <row r="14" spans="1:25" s="4" customFormat="1" ht="11.25">
      <c r="A14" s="51">
        <v>1.01</v>
      </c>
      <c r="B14" s="3"/>
      <c r="C14" s="38"/>
      <c r="D14" s="38"/>
      <c r="E14" s="38"/>
      <c r="F14" s="34"/>
      <c r="G14" s="58"/>
      <c r="H14" s="13"/>
      <c r="I14" s="13">
        <f aca="true" t="shared" si="0" ref="I14:I29">F14*H14</f>
        <v>0</v>
      </c>
      <c r="J14" s="13">
        <f aca="true" t="shared" si="1" ref="J14:J28">I14*$L$8</f>
        <v>0</v>
      </c>
      <c r="K14" s="13"/>
      <c r="L14" s="13">
        <f aca="true" t="shared" si="2" ref="L14:L29">F14*K14</f>
        <v>0</v>
      </c>
      <c r="M14" s="13"/>
      <c r="N14" s="13">
        <f aca="true" t="shared" si="3" ref="N14:N29">F14*M14</f>
        <v>0</v>
      </c>
      <c r="O14" s="13"/>
      <c r="P14" s="13">
        <f aca="true" t="shared" si="4" ref="P14:P29">F14*O14</f>
        <v>0</v>
      </c>
      <c r="Q14" s="39"/>
      <c r="R14" s="13">
        <f aca="true" t="shared" si="5" ref="R14:R29">(J14+L14+N14+P14)*Q14</f>
        <v>0</v>
      </c>
      <c r="S14" s="13">
        <f aca="true" t="shared" si="6" ref="S14:S29">J14+L14+N14+P14+R14</f>
        <v>0</v>
      </c>
      <c r="T14" s="39"/>
      <c r="U14" s="13">
        <f aca="true" t="shared" si="7" ref="U14:U29">S14*T14</f>
        <v>0</v>
      </c>
      <c r="V14" s="13">
        <f aca="true" t="shared" si="8" ref="V14:V29">S14+U14</f>
        <v>0</v>
      </c>
      <c r="W14" s="3"/>
      <c r="X14" s="59"/>
      <c r="Y14" s="3"/>
    </row>
    <row r="15" spans="1:25" s="4" customFormat="1" ht="45">
      <c r="A15" s="51">
        <v>1.02</v>
      </c>
      <c r="B15" s="3"/>
      <c r="C15" s="38"/>
      <c r="D15" s="60" t="s">
        <v>70</v>
      </c>
      <c r="E15" s="38" t="s">
        <v>125</v>
      </c>
      <c r="F15" s="66">
        <v>1</v>
      </c>
      <c r="G15" s="58" t="s">
        <v>72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5">
        <f>2*5000</f>
        <v>10000</v>
      </c>
      <c r="N15" s="13">
        <f>F15*M15</f>
        <v>10000</v>
      </c>
      <c r="O15" s="13"/>
      <c r="P15" s="13">
        <f>F15*O15</f>
        <v>0</v>
      </c>
      <c r="Q15" s="39"/>
      <c r="R15" s="13">
        <f>(J15+L15+N15+P15)*Q15</f>
        <v>0</v>
      </c>
      <c r="S15" s="13">
        <f>J15+L15+N15+P15+R15</f>
        <v>10000</v>
      </c>
      <c r="T15" s="39">
        <v>0.25</v>
      </c>
      <c r="U15" s="13">
        <f>S15*T15</f>
        <v>2500</v>
      </c>
      <c r="V15" s="13">
        <f>S15+U15</f>
        <v>12500</v>
      </c>
      <c r="W15" s="3"/>
      <c r="X15" s="59"/>
      <c r="Y15" s="3"/>
    </row>
    <row r="16" spans="1:25" s="4" customFormat="1" ht="11.25">
      <c r="A16" s="51">
        <v>1.03</v>
      </c>
      <c r="B16" s="3"/>
      <c r="C16" s="38"/>
      <c r="D16" s="57"/>
      <c r="E16" s="38"/>
      <c r="F16" s="66"/>
      <c r="G16" s="58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9"/>
      <c r="R16" s="13">
        <f t="shared" si="5"/>
        <v>0</v>
      </c>
      <c r="S16" s="13">
        <f t="shared" si="6"/>
        <v>0</v>
      </c>
      <c r="T16" s="39"/>
      <c r="U16" s="13">
        <f t="shared" si="7"/>
        <v>0</v>
      </c>
      <c r="V16" s="13">
        <f t="shared" si="8"/>
        <v>0</v>
      </c>
      <c r="W16" s="3"/>
      <c r="X16" s="59"/>
      <c r="Y16" s="3"/>
    </row>
    <row r="17" spans="1:25" s="4" customFormat="1" ht="11.25">
      <c r="A17" s="51">
        <v>1.04</v>
      </c>
      <c r="B17" s="3"/>
      <c r="C17" s="38"/>
      <c r="D17" s="60" t="s">
        <v>136</v>
      </c>
      <c r="E17" s="38"/>
      <c r="F17" s="66"/>
      <c r="G17" s="58"/>
      <c r="H17" s="13"/>
      <c r="I17" s="13">
        <f t="shared" si="0"/>
        <v>0</v>
      </c>
      <c r="J17" s="13">
        <f t="shared" si="1"/>
        <v>0</v>
      </c>
      <c r="K17" s="13"/>
      <c r="L17" s="13">
        <f t="shared" si="2"/>
        <v>0</v>
      </c>
      <c r="M17" s="68"/>
      <c r="N17" s="13">
        <f t="shared" si="3"/>
        <v>0</v>
      </c>
      <c r="O17" s="13"/>
      <c r="P17" s="13">
        <f t="shared" si="4"/>
        <v>0</v>
      </c>
      <c r="Q17" s="39"/>
      <c r="R17" s="13">
        <f t="shared" si="5"/>
        <v>0</v>
      </c>
      <c r="S17" s="13">
        <f t="shared" si="6"/>
        <v>0</v>
      </c>
      <c r="T17" s="39"/>
      <c r="U17" s="13">
        <f t="shared" si="7"/>
        <v>0</v>
      </c>
      <c r="V17" s="13">
        <f t="shared" si="8"/>
        <v>0</v>
      </c>
      <c r="W17" s="3"/>
      <c r="X17" s="59"/>
      <c r="Y17" s="3"/>
    </row>
    <row r="18" spans="1:25" s="4" customFormat="1" ht="11.25">
      <c r="A18" s="51">
        <v>1.05</v>
      </c>
      <c r="B18" s="3"/>
      <c r="C18" s="38"/>
      <c r="D18" s="57" t="s">
        <v>73</v>
      </c>
      <c r="E18" s="38" t="s">
        <v>74</v>
      </c>
      <c r="F18" s="66">
        <f>(5*12)+4+2</f>
        <v>66</v>
      </c>
      <c r="G18" s="58" t="s">
        <v>71</v>
      </c>
      <c r="H18" s="13"/>
      <c r="I18" s="13">
        <f t="shared" si="0"/>
        <v>0</v>
      </c>
      <c r="J18" s="13">
        <f t="shared" si="1"/>
        <v>0</v>
      </c>
      <c r="K18" s="13"/>
      <c r="L18" s="13">
        <f t="shared" si="2"/>
        <v>0</v>
      </c>
      <c r="M18" s="68">
        <v>8500.5</v>
      </c>
      <c r="N18" s="13">
        <f t="shared" si="3"/>
        <v>561033</v>
      </c>
      <c r="O18" s="13"/>
      <c r="P18" s="13">
        <f t="shared" si="4"/>
        <v>0</v>
      </c>
      <c r="Q18" s="39"/>
      <c r="R18" s="13">
        <f t="shared" si="5"/>
        <v>0</v>
      </c>
      <c r="S18" s="13">
        <f t="shared" si="6"/>
        <v>561033</v>
      </c>
      <c r="T18" s="39">
        <v>0.25</v>
      </c>
      <c r="U18" s="13">
        <f t="shared" si="7"/>
        <v>140258.25</v>
      </c>
      <c r="V18" s="13">
        <f t="shared" si="8"/>
        <v>701291.25</v>
      </c>
      <c r="W18" s="3"/>
      <c r="X18" s="59"/>
      <c r="Y18" s="3"/>
    </row>
    <row r="19" spans="1:25" s="4" customFormat="1" ht="22.5">
      <c r="A19" s="51">
        <v>1.06</v>
      </c>
      <c r="B19" s="3"/>
      <c r="C19" s="38"/>
      <c r="D19" s="57" t="s">
        <v>142</v>
      </c>
      <c r="E19" s="38" t="s">
        <v>143</v>
      </c>
      <c r="F19" s="66">
        <f>230*12*0.1</f>
        <v>276</v>
      </c>
      <c r="G19" s="58" t="s">
        <v>144</v>
      </c>
      <c r="H19" s="65"/>
      <c r="I19" s="65">
        <f aca="true" t="shared" si="9" ref="I19:I25">F19*H19</f>
        <v>0</v>
      </c>
      <c r="J19" s="65">
        <f t="shared" si="1"/>
        <v>0</v>
      </c>
      <c r="K19" s="65"/>
      <c r="L19" s="65">
        <f aca="true" t="shared" si="10" ref="L19:L25">F19*K19</f>
        <v>0</v>
      </c>
      <c r="M19" s="68">
        <f>'[3]Detail Costs'!$V$57</f>
        <v>175.02520900000002</v>
      </c>
      <c r="N19" s="65">
        <f aca="true" t="shared" si="11" ref="N19:N25">F19*M19</f>
        <v>48306.95768400001</v>
      </c>
      <c r="O19" s="65"/>
      <c r="P19" s="65">
        <f aca="true" t="shared" si="12" ref="P19:P25">F19*O19</f>
        <v>0</v>
      </c>
      <c r="Q19" s="93"/>
      <c r="R19" s="65">
        <f aca="true" t="shared" si="13" ref="R19:R25">(J19+L19+N19+P19)*Q19</f>
        <v>0</v>
      </c>
      <c r="S19" s="65">
        <f aca="true" t="shared" si="14" ref="S19:S25">J19+L19+N19+P19+R19</f>
        <v>48306.95768400001</v>
      </c>
      <c r="T19" s="39">
        <v>0.25</v>
      </c>
      <c r="U19" s="65">
        <f aca="true" t="shared" si="15" ref="U19:U25">S19*T19</f>
        <v>12076.739421000002</v>
      </c>
      <c r="V19" s="65">
        <f aca="true" t="shared" si="16" ref="V19:V25">S19+U19</f>
        <v>60383.697105000014</v>
      </c>
      <c r="W19" s="3"/>
      <c r="X19" s="59"/>
      <c r="Y19" s="3"/>
    </row>
    <row r="20" spans="1:25" s="4" customFormat="1" ht="11.25">
      <c r="A20" s="51">
        <v>1.07</v>
      </c>
      <c r="B20" s="3"/>
      <c r="C20" s="38"/>
      <c r="D20" s="57"/>
      <c r="E20" s="38"/>
      <c r="F20" s="66"/>
      <c r="G20" s="58"/>
      <c r="H20" s="13"/>
      <c r="I20" s="13">
        <f t="shared" si="9"/>
        <v>0</v>
      </c>
      <c r="J20" s="13">
        <f t="shared" si="1"/>
        <v>0</v>
      </c>
      <c r="K20" s="13"/>
      <c r="L20" s="13">
        <f t="shared" si="10"/>
        <v>0</v>
      </c>
      <c r="M20" s="94"/>
      <c r="N20" s="13">
        <f t="shared" si="11"/>
        <v>0</v>
      </c>
      <c r="O20" s="13"/>
      <c r="P20" s="13">
        <f t="shared" si="12"/>
        <v>0</v>
      </c>
      <c r="Q20" s="39"/>
      <c r="R20" s="13">
        <f t="shared" si="13"/>
        <v>0</v>
      </c>
      <c r="S20" s="13">
        <f t="shared" si="14"/>
        <v>0</v>
      </c>
      <c r="T20" s="39"/>
      <c r="U20" s="13">
        <f t="shared" si="15"/>
        <v>0</v>
      </c>
      <c r="V20" s="13">
        <f t="shared" si="16"/>
        <v>0</v>
      </c>
      <c r="W20" s="3"/>
      <c r="X20" s="59"/>
      <c r="Y20" s="3"/>
    </row>
    <row r="21" spans="1:25" s="4" customFormat="1" ht="11.25">
      <c r="A21" s="51">
        <v>1.08</v>
      </c>
      <c r="B21" s="3"/>
      <c r="C21" s="38"/>
      <c r="D21" s="60" t="s">
        <v>148</v>
      </c>
      <c r="E21" s="38"/>
      <c r="F21" s="66"/>
      <c r="G21" s="58"/>
      <c r="H21" s="13"/>
      <c r="I21" s="13">
        <f t="shared" si="9"/>
        <v>0</v>
      </c>
      <c r="J21" s="13">
        <f t="shared" si="1"/>
        <v>0</v>
      </c>
      <c r="K21" s="13"/>
      <c r="L21" s="13">
        <f t="shared" si="10"/>
        <v>0</v>
      </c>
      <c r="M21" s="94"/>
      <c r="N21" s="13">
        <f t="shared" si="11"/>
        <v>0</v>
      </c>
      <c r="O21" s="13"/>
      <c r="P21" s="13">
        <f t="shared" si="12"/>
        <v>0</v>
      </c>
      <c r="Q21" s="39"/>
      <c r="R21" s="13">
        <f t="shared" si="13"/>
        <v>0</v>
      </c>
      <c r="S21" s="13">
        <f t="shared" si="14"/>
        <v>0</v>
      </c>
      <c r="T21" s="39"/>
      <c r="U21" s="13">
        <f t="shared" si="15"/>
        <v>0</v>
      </c>
      <c r="V21" s="13">
        <f t="shared" si="16"/>
        <v>0</v>
      </c>
      <c r="W21" s="3"/>
      <c r="X21" s="59"/>
      <c r="Y21" s="3"/>
    </row>
    <row r="22" spans="1:25" s="4" customFormat="1" ht="67.5">
      <c r="A22" s="51">
        <v>1.09</v>
      </c>
      <c r="B22" s="3"/>
      <c r="C22" s="38"/>
      <c r="D22" s="57" t="s">
        <v>149</v>
      </c>
      <c r="E22" s="38" t="s">
        <v>150</v>
      </c>
      <c r="F22" s="66">
        <v>1</v>
      </c>
      <c r="G22" s="58" t="s">
        <v>72</v>
      </c>
      <c r="H22" s="13"/>
      <c r="I22" s="13">
        <f t="shared" si="9"/>
        <v>0</v>
      </c>
      <c r="J22" s="13">
        <f t="shared" si="1"/>
        <v>0</v>
      </c>
      <c r="K22" s="13"/>
      <c r="L22" s="13">
        <f t="shared" si="10"/>
        <v>0</v>
      </c>
      <c r="M22" s="94">
        <f>19200+(20*30.4*0.5)+(2*30.4*0.5*100)</f>
        <v>22544</v>
      </c>
      <c r="N22" s="13">
        <f t="shared" si="11"/>
        <v>22544</v>
      </c>
      <c r="O22" s="13"/>
      <c r="P22" s="13">
        <f t="shared" si="12"/>
        <v>0</v>
      </c>
      <c r="Q22" s="39"/>
      <c r="R22" s="13">
        <f t="shared" si="13"/>
        <v>0</v>
      </c>
      <c r="S22" s="13">
        <f t="shared" si="14"/>
        <v>22544</v>
      </c>
      <c r="T22" s="39">
        <v>0.25</v>
      </c>
      <c r="U22" s="13">
        <f t="shared" si="15"/>
        <v>5636</v>
      </c>
      <c r="V22" s="13">
        <f t="shared" si="16"/>
        <v>28180</v>
      </c>
      <c r="W22" s="3"/>
      <c r="X22" s="59"/>
      <c r="Y22" s="3"/>
    </row>
    <row r="23" spans="1:25" s="4" customFormat="1" ht="11.25">
      <c r="A23" s="51">
        <v>1.1</v>
      </c>
      <c r="B23" s="3"/>
      <c r="C23" s="38"/>
      <c r="D23" s="57" t="s">
        <v>151</v>
      </c>
      <c r="E23" s="38"/>
      <c r="F23" s="66">
        <v>1</v>
      </c>
      <c r="G23" s="58" t="s">
        <v>152</v>
      </c>
      <c r="H23" s="13"/>
      <c r="I23" s="13">
        <f t="shared" si="9"/>
        <v>0</v>
      </c>
      <c r="J23" s="13">
        <f t="shared" si="1"/>
        <v>0</v>
      </c>
      <c r="K23" s="13"/>
      <c r="L23" s="13">
        <f t="shared" si="10"/>
        <v>0</v>
      </c>
      <c r="M23" s="94">
        <v>3000</v>
      </c>
      <c r="N23" s="13">
        <f t="shared" si="11"/>
        <v>3000</v>
      </c>
      <c r="O23" s="13"/>
      <c r="P23" s="13">
        <f t="shared" si="12"/>
        <v>0</v>
      </c>
      <c r="Q23" s="39"/>
      <c r="R23" s="13">
        <f t="shared" si="13"/>
        <v>0</v>
      </c>
      <c r="S23" s="13">
        <f t="shared" si="14"/>
        <v>3000</v>
      </c>
      <c r="T23" s="39">
        <v>0.25</v>
      </c>
      <c r="U23" s="13">
        <f t="shared" si="15"/>
        <v>750</v>
      </c>
      <c r="V23" s="13">
        <f t="shared" si="16"/>
        <v>3750</v>
      </c>
      <c r="W23" s="3"/>
      <c r="X23" s="59"/>
      <c r="Y23" s="3"/>
    </row>
    <row r="24" spans="1:25" s="4" customFormat="1" ht="11.25">
      <c r="A24" s="51">
        <v>1.11</v>
      </c>
      <c r="B24" s="3"/>
      <c r="C24" s="38"/>
      <c r="D24" s="57" t="s">
        <v>153</v>
      </c>
      <c r="E24" s="38"/>
      <c r="F24" s="66">
        <v>20</v>
      </c>
      <c r="G24" s="58" t="s">
        <v>72</v>
      </c>
      <c r="H24" s="13"/>
      <c r="I24" s="13">
        <f t="shared" si="9"/>
        <v>0</v>
      </c>
      <c r="J24" s="13">
        <f t="shared" si="1"/>
        <v>0</v>
      </c>
      <c r="K24" s="13"/>
      <c r="L24" s="13">
        <f t="shared" si="10"/>
        <v>0</v>
      </c>
      <c r="M24" s="94">
        <v>300</v>
      </c>
      <c r="N24" s="13">
        <f t="shared" si="11"/>
        <v>6000</v>
      </c>
      <c r="O24" s="13"/>
      <c r="P24" s="13">
        <f t="shared" si="12"/>
        <v>0</v>
      </c>
      <c r="Q24" s="39"/>
      <c r="R24" s="13">
        <f t="shared" si="13"/>
        <v>0</v>
      </c>
      <c r="S24" s="13">
        <f t="shared" si="14"/>
        <v>6000</v>
      </c>
      <c r="T24" s="39">
        <v>0.25</v>
      </c>
      <c r="U24" s="13">
        <f t="shared" si="15"/>
        <v>1500</v>
      </c>
      <c r="V24" s="13">
        <f t="shared" si="16"/>
        <v>7500</v>
      </c>
      <c r="W24" s="3"/>
      <c r="X24" s="59"/>
      <c r="Y24" s="3"/>
    </row>
    <row r="25" spans="1:25" s="4" customFormat="1" ht="11.25">
      <c r="A25" s="51">
        <v>1.12</v>
      </c>
      <c r="B25" s="3"/>
      <c r="C25" s="38"/>
      <c r="D25" s="38"/>
      <c r="E25" s="38"/>
      <c r="F25" s="66"/>
      <c r="G25" s="58"/>
      <c r="H25" s="13"/>
      <c r="I25" s="13">
        <f t="shared" si="9"/>
        <v>0</v>
      </c>
      <c r="J25" s="13">
        <f t="shared" si="1"/>
        <v>0</v>
      </c>
      <c r="K25" s="13"/>
      <c r="L25" s="13">
        <f t="shared" si="10"/>
        <v>0</v>
      </c>
      <c r="M25" s="13"/>
      <c r="N25" s="13">
        <f t="shared" si="11"/>
        <v>0</v>
      </c>
      <c r="O25" s="13"/>
      <c r="P25" s="13">
        <f t="shared" si="12"/>
        <v>0</v>
      </c>
      <c r="Q25" s="39"/>
      <c r="R25" s="13">
        <f t="shared" si="13"/>
        <v>0</v>
      </c>
      <c r="S25" s="13">
        <f t="shared" si="14"/>
        <v>0</v>
      </c>
      <c r="T25" s="39"/>
      <c r="U25" s="13">
        <f t="shared" si="15"/>
        <v>0</v>
      </c>
      <c r="V25" s="13">
        <f t="shared" si="16"/>
        <v>0</v>
      </c>
      <c r="W25" s="3"/>
      <c r="X25" s="59"/>
      <c r="Y25" s="3"/>
    </row>
    <row r="26" spans="1:25" s="4" customFormat="1" ht="33.75">
      <c r="A26" s="51">
        <v>1.13</v>
      </c>
      <c r="B26" s="3"/>
      <c r="C26" s="38"/>
      <c r="D26" s="60" t="s">
        <v>114</v>
      </c>
      <c r="E26" s="38" t="s">
        <v>115</v>
      </c>
      <c r="F26" s="66"/>
      <c r="G26" s="58"/>
      <c r="H26" s="13"/>
      <c r="I26" s="13">
        <f t="shared" si="0"/>
        <v>0</v>
      </c>
      <c r="J26" s="13">
        <f t="shared" si="1"/>
        <v>0</v>
      </c>
      <c r="K26" s="13"/>
      <c r="L26" s="13">
        <f t="shared" si="2"/>
        <v>0</v>
      </c>
      <c r="M26" s="13"/>
      <c r="N26" s="13">
        <f t="shared" si="3"/>
        <v>0</v>
      </c>
      <c r="O26" s="13"/>
      <c r="P26" s="13">
        <f t="shared" si="4"/>
        <v>0</v>
      </c>
      <c r="Q26" s="39"/>
      <c r="R26" s="13">
        <f t="shared" si="5"/>
        <v>0</v>
      </c>
      <c r="S26" s="13">
        <f t="shared" si="6"/>
        <v>0</v>
      </c>
      <c r="T26" s="39"/>
      <c r="U26" s="13">
        <f t="shared" si="7"/>
        <v>0</v>
      </c>
      <c r="V26" s="13">
        <f t="shared" si="8"/>
        <v>0</v>
      </c>
      <c r="W26" s="3"/>
      <c r="X26" s="59"/>
      <c r="Y26" s="3"/>
    </row>
    <row r="27" spans="1:25" s="4" customFormat="1" ht="11.25">
      <c r="A27" s="51">
        <v>1.14</v>
      </c>
      <c r="B27" s="3"/>
      <c r="C27" s="38"/>
      <c r="D27" s="57" t="s">
        <v>118</v>
      </c>
      <c r="E27" s="38" t="s">
        <v>116</v>
      </c>
      <c r="F27" s="66">
        <v>2</v>
      </c>
      <c r="G27" s="58" t="s">
        <v>117</v>
      </c>
      <c r="H27" s="13"/>
      <c r="I27" s="13">
        <f t="shared" si="0"/>
        <v>0</v>
      </c>
      <c r="J27" s="13">
        <f t="shared" si="1"/>
        <v>0</v>
      </c>
      <c r="K27" s="13"/>
      <c r="L27" s="13">
        <f t="shared" si="2"/>
        <v>0</v>
      </c>
      <c r="M27" s="84">
        <f>(71.4+100)*4</f>
        <v>685.6</v>
      </c>
      <c r="N27" s="13">
        <f t="shared" si="3"/>
        <v>1371.2</v>
      </c>
      <c r="O27" s="13"/>
      <c r="P27" s="13">
        <f t="shared" si="4"/>
        <v>0</v>
      </c>
      <c r="Q27" s="39"/>
      <c r="R27" s="13">
        <f t="shared" si="5"/>
        <v>0</v>
      </c>
      <c r="S27" s="13">
        <f t="shared" si="6"/>
        <v>1371.2</v>
      </c>
      <c r="T27" s="39">
        <v>0.25</v>
      </c>
      <c r="U27" s="13">
        <f t="shared" si="7"/>
        <v>342.8</v>
      </c>
      <c r="V27" s="13">
        <f t="shared" si="8"/>
        <v>1714</v>
      </c>
      <c r="W27" s="59"/>
      <c r="X27" s="59"/>
      <c r="Y27" s="3"/>
    </row>
    <row r="28" spans="1:25" s="4" customFormat="1" ht="11.25">
      <c r="A28" s="51">
        <v>1.15</v>
      </c>
      <c r="B28" s="3"/>
      <c r="C28" s="38"/>
      <c r="D28" s="85"/>
      <c r="E28" s="86"/>
      <c r="F28" s="87"/>
      <c r="G28" s="88"/>
      <c r="H28" s="13"/>
      <c r="I28" s="13">
        <f t="shared" si="0"/>
        <v>0</v>
      </c>
      <c r="J28" s="13">
        <f t="shared" si="1"/>
        <v>0</v>
      </c>
      <c r="K28" s="13"/>
      <c r="L28" s="13">
        <f t="shared" si="2"/>
        <v>0</v>
      </c>
      <c r="M28" s="13"/>
      <c r="N28" s="13">
        <f t="shared" si="3"/>
        <v>0</v>
      </c>
      <c r="O28" s="13"/>
      <c r="P28" s="13">
        <f t="shared" si="4"/>
        <v>0</v>
      </c>
      <c r="Q28" s="39"/>
      <c r="R28" s="13">
        <f t="shared" si="5"/>
        <v>0</v>
      </c>
      <c r="S28" s="13">
        <f t="shared" si="6"/>
        <v>0</v>
      </c>
      <c r="T28" s="39"/>
      <c r="U28" s="13">
        <f t="shared" si="7"/>
        <v>0</v>
      </c>
      <c r="V28" s="13">
        <f t="shared" si="8"/>
        <v>0</v>
      </c>
      <c r="W28" s="3"/>
      <c r="X28" s="59"/>
      <c r="Y28" s="3"/>
    </row>
    <row r="29" spans="1:25" s="4" customFormat="1" ht="11.25">
      <c r="A29" s="51">
        <v>1.16</v>
      </c>
      <c r="B29" s="3"/>
      <c r="C29" s="38"/>
      <c r="D29" s="57"/>
      <c r="E29" s="38"/>
      <c r="F29" s="66"/>
      <c r="G29" s="58"/>
      <c r="H29" s="13"/>
      <c r="I29" s="13">
        <f t="shared" si="0"/>
        <v>0</v>
      </c>
      <c r="J29" s="13">
        <f>I29*$L$8</f>
        <v>0</v>
      </c>
      <c r="K29" s="13"/>
      <c r="L29" s="13">
        <f t="shared" si="2"/>
        <v>0</v>
      </c>
      <c r="M29" s="13"/>
      <c r="N29" s="13">
        <f t="shared" si="3"/>
        <v>0</v>
      </c>
      <c r="O29" s="13"/>
      <c r="P29" s="13">
        <f t="shared" si="4"/>
        <v>0</v>
      </c>
      <c r="Q29" s="39"/>
      <c r="R29" s="13">
        <f t="shared" si="5"/>
        <v>0</v>
      </c>
      <c r="S29" s="13">
        <f t="shared" si="6"/>
        <v>0</v>
      </c>
      <c r="T29" s="39"/>
      <c r="U29" s="13">
        <f t="shared" si="7"/>
        <v>0</v>
      </c>
      <c r="V29" s="13">
        <f t="shared" si="8"/>
        <v>0</v>
      </c>
      <c r="W29" s="3"/>
      <c r="X29" s="59"/>
      <c r="Y29" s="3"/>
    </row>
    <row r="30" spans="1:25" s="4" customFormat="1" ht="11.25">
      <c r="A30" s="51">
        <v>1.17</v>
      </c>
      <c r="B30" s="3"/>
      <c r="C30" s="38"/>
      <c r="D30" s="57"/>
      <c r="E30" s="38"/>
      <c r="F30" s="66"/>
      <c r="G30" s="58"/>
      <c r="H30" s="13"/>
      <c r="I30" s="13">
        <f>F30*H30</f>
        <v>0</v>
      </c>
      <c r="J30" s="13">
        <f>I30*$L$8</f>
        <v>0</v>
      </c>
      <c r="K30" s="13"/>
      <c r="L30" s="13">
        <f>F30*K30</f>
        <v>0</v>
      </c>
      <c r="M30" s="13"/>
      <c r="N30" s="13">
        <f>F30*M30</f>
        <v>0</v>
      </c>
      <c r="O30" s="13"/>
      <c r="P30" s="13">
        <f>F30*O30</f>
        <v>0</v>
      </c>
      <c r="Q30" s="39"/>
      <c r="R30" s="13">
        <f>(J30+L30+N30+P30)*Q30</f>
        <v>0</v>
      </c>
      <c r="S30" s="13">
        <f>J30+L30+N30+P30+R30</f>
        <v>0</v>
      </c>
      <c r="T30" s="39"/>
      <c r="U30" s="13">
        <f>S30*T30</f>
        <v>0</v>
      </c>
      <c r="V30" s="13">
        <f>S30+U30</f>
        <v>0</v>
      </c>
      <c r="W30" s="3"/>
      <c r="X30" s="59"/>
      <c r="Y30" s="3"/>
    </row>
    <row r="31" spans="2:25" s="14" customFormat="1" ht="24.75" customHeight="1">
      <c r="B31" s="96" t="s">
        <v>38</v>
      </c>
      <c r="C31" s="96"/>
      <c r="D31" s="96"/>
      <c r="E31" s="96"/>
      <c r="F31" s="96"/>
      <c r="G31" s="96"/>
      <c r="H31" s="96"/>
      <c r="I31" s="37">
        <f>SUM(I14:I30)</f>
        <v>0</v>
      </c>
      <c r="J31" s="37">
        <f>SUM(J14:J30)</f>
        <v>0</v>
      </c>
      <c r="K31" s="49"/>
      <c r="L31" s="37">
        <f>SUM(L14:L30)</f>
        <v>0</v>
      </c>
      <c r="M31" s="49"/>
      <c r="N31" s="37">
        <f>SUM(N14:N30)</f>
        <v>652255.157684</v>
      </c>
      <c r="O31" s="49"/>
      <c r="P31" s="37">
        <f>SUM(P14:P30)</f>
        <v>0</v>
      </c>
      <c r="Q31" s="42">
        <f>R31/S31</f>
        <v>0</v>
      </c>
      <c r="R31" s="37">
        <f>SUM(R14:R30)</f>
        <v>0</v>
      </c>
      <c r="S31" s="37">
        <f>SUM(S14:S30)</f>
        <v>652255.157684</v>
      </c>
      <c r="T31" s="42">
        <f>U31/S31</f>
        <v>0.25</v>
      </c>
      <c r="U31" s="37">
        <f>SUM(U14:U30)</f>
        <v>163063.789421</v>
      </c>
      <c r="V31" s="37">
        <f>SUM(V14:V30)</f>
        <v>815318.947105</v>
      </c>
      <c r="W31" s="4"/>
      <c r="X31" s="1"/>
      <c r="Y31" s="4"/>
    </row>
    <row r="32" spans="2:25" s="4" customFormat="1" ht="4.5" customHeight="1">
      <c r="B32" s="46"/>
      <c r="C32" s="46"/>
      <c r="D32" s="46"/>
      <c r="E32" s="46"/>
      <c r="F32" s="47"/>
      <c r="G32" s="63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47"/>
      <c r="S32" s="47"/>
      <c r="T32" s="48"/>
      <c r="U32" s="47"/>
      <c r="V32" s="47"/>
      <c r="W32" s="46"/>
      <c r="X32" s="61"/>
      <c r="Y32" s="46"/>
    </row>
    <row r="33" spans="2:25" s="4" customFormat="1" ht="11.25">
      <c r="B33" s="50" t="s">
        <v>46</v>
      </c>
      <c r="C33" s="46"/>
      <c r="D33" s="46"/>
      <c r="E33" s="46"/>
      <c r="F33" s="47"/>
      <c r="G33" s="63"/>
      <c r="H33" s="47"/>
      <c r="I33" s="47"/>
      <c r="J33" s="47"/>
      <c r="K33" s="47"/>
      <c r="L33" s="47"/>
      <c r="M33" s="47"/>
      <c r="N33" s="47"/>
      <c r="O33" s="47"/>
      <c r="P33" s="47"/>
      <c r="Q33" s="48"/>
      <c r="R33" s="47"/>
      <c r="S33" s="47"/>
      <c r="T33" s="48"/>
      <c r="U33" s="47"/>
      <c r="V33" s="47"/>
      <c r="W33" s="46"/>
      <c r="X33" s="61"/>
      <c r="Y33" s="46"/>
    </row>
    <row r="34" spans="2:25" s="4" customFormat="1" ht="4.5" customHeight="1">
      <c r="B34" s="46"/>
      <c r="C34" s="46"/>
      <c r="D34" s="46"/>
      <c r="E34" s="46"/>
      <c r="F34" s="47"/>
      <c r="G34" s="63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47"/>
      <c r="S34" s="47"/>
      <c r="T34" s="48"/>
      <c r="U34" s="47"/>
      <c r="V34" s="47"/>
      <c r="W34" s="46"/>
      <c r="X34" s="61"/>
      <c r="Y34" s="46"/>
    </row>
    <row r="35" spans="1:25" s="4" customFormat="1" ht="22.5">
      <c r="A35" s="51">
        <v>2.01</v>
      </c>
      <c r="B35" s="3"/>
      <c r="C35" s="3"/>
      <c r="D35" s="3" t="s">
        <v>62</v>
      </c>
      <c r="E35" s="3" t="s">
        <v>146</v>
      </c>
      <c r="F35" s="66">
        <f>10*66</f>
        <v>660</v>
      </c>
      <c r="G35" s="58" t="s">
        <v>69</v>
      </c>
      <c r="H35" s="13"/>
      <c r="I35" s="13">
        <f>F35*H35</f>
        <v>0</v>
      </c>
      <c r="J35" s="13">
        <f aca="true" t="shared" si="17" ref="J35:J50">I35*$L$8</f>
        <v>0</v>
      </c>
      <c r="K35" s="13"/>
      <c r="L35" s="13">
        <f>F35*K35</f>
        <v>0</v>
      </c>
      <c r="M35" s="84">
        <f>105+150</f>
        <v>255</v>
      </c>
      <c r="N35" s="13">
        <f>F35*M35</f>
        <v>168300</v>
      </c>
      <c r="O35" s="13"/>
      <c r="P35" s="13">
        <f>F35*O35</f>
        <v>0</v>
      </c>
      <c r="Q35" s="39"/>
      <c r="R35" s="13">
        <f>(J35+L35+N35+P35)*Q35</f>
        <v>0</v>
      </c>
      <c r="S35" s="13">
        <f>J35+L35+N35+P35+R35</f>
        <v>168300</v>
      </c>
      <c r="T35" s="39">
        <v>0.25</v>
      </c>
      <c r="U35" s="13">
        <f>S35*T35</f>
        <v>42075</v>
      </c>
      <c r="V35" s="13">
        <f>S35+U35</f>
        <v>210375</v>
      </c>
      <c r="W35" s="3"/>
      <c r="X35" s="59"/>
      <c r="Y35" s="3"/>
    </row>
    <row r="36" spans="1:25" s="4" customFormat="1" ht="22.5">
      <c r="A36" s="51">
        <v>2.02</v>
      </c>
      <c r="B36" s="3"/>
      <c r="C36" s="3"/>
      <c r="D36" s="38" t="s">
        <v>47</v>
      </c>
      <c r="E36" s="3"/>
      <c r="F36" s="70">
        <v>0.05</v>
      </c>
      <c r="G36" s="58"/>
      <c r="H36" s="13"/>
      <c r="I36" s="13">
        <f>F36*H36</f>
        <v>0</v>
      </c>
      <c r="J36" s="13">
        <f t="shared" si="17"/>
        <v>0</v>
      </c>
      <c r="K36" s="13"/>
      <c r="L36" s="13">
        <f>F36*K36</f>
        <v>0</v>
      </c>
      <c r="M36" s="65">
        <f>V31</f>
        <v>815318.947105</v>
      </c>
      <c r="N36" s="13">
        <f>F36*M36</f>
        <v>40765.947355250006</v>
      </c>
      <c r="O36" s="13"/>
      <c r="P36" s="13">
        <f>F36*O36</f>
        <v>0</v>
      </c>
      <c r="Q36" s="39"/>
      <c r="R36" s="13">
        <f>(J36+L36+N36+P36)*Q36</f>
        <v>0</v>
      </c>
      <c r="S36" s="13">
        <f>J36+L36+N36+P36+R36</f>
        <v>40765.947355250006</v>
      </c>
      <c r="T36" s="39">
        <v>0.25</v>
      </c>
      <c r="U36" s="13">
        <f>S36*T36</f>
        <v>10191.486838812501</v>
      </c>
      <c r="V36" s="13">
        <f>S36+U36</f>
        <v>50957.43419406251</v>
      </c>
      <c r="W36" s="3"/>
      <c r="X36" s="59"/>
      <c r="Y36" s="3"/>
    </row>
    <row r="37" spans="1:25" s="4" customFormat="1" ht="11.25">
      <c r="A37" s="51">
        <v>2.03</v>
      </c>
      <c r="B37" s="3"/>
      <c r="C37" s="3"/>
      <c r="D37" s="3" t="s">
        <v>68</v>
      </c>
      <c r="E37" s="3"/>
      <c r="F37" s="66"/>
      <c r="G37" s="58"/>
      <c r="H37" s="13"/>
      <c r="I37" s="13">
        <f aca="true" t="shared" si="18" ref="I37:I50">F37*H37</f>
        <v>0</v>
      </c>
      <c r="J37" s="13">
        <f t="shared" si="17"/>
        <v>0</v>
      </c>
      <c r="K37" s="13"/>
      <c r="L37" s="13">
        <f aca="true" t="shared" si="19" ref="L37:L50">F37*K37</f>
        <v>0</v>
      </c>
      <c r="M37" s="13"/>
      <c r="N37" s="13">
        <f aca="true" t="shared" si="20" ref="N37:N50">F37*M37</f>
        <v>0</v>
      </c>
      <c r="O37" s="13"/>
      <c r="P37" s="13">
        <f aca="true" t="shared" si="21" ref="P37:P50">F37*O37</f>
        <v>0</v>
      </c>
      <c r="Q37" s="39"/>
      <c r="R37" s="13">
        <f aca="true" t="shared" si="22" ref="R37:R50">(J37+L37+N37+P37)*Q37</f>
        <v>0</v>
      </c>
      <c r="S37" s="13">
        <f aca="true" t="shared" si="23" ref="S37:S50">J37+L37+N37+P37+R37</f>
        <v>0</v>
      </c>
      <c r="T37" s="39"/>
      <c r="U37" s="13">
        <f aca="true" t="shared" si="24" ref="U37:U50">S37*T37</f>
        <v>0</v>
      </c>
      <c r="V37" s="13">
        <f aca="true" t="shared" si="25" ref="V37:V50">S37+U37</f>
        <v>0</v>
      </c>
      <c r="W37" s="3"/>
      <c r="X37" s="59"/>
      <c r="Y37" s="3"/>
    </row>
    <row r="38" spans="1:25" s="4" customFormat="1" ht="22.5">
      <c r="A38" s="51">
        <v>2.04</v>
      </c>
      <c r="B38" s="3"/>
      <c r="C38" s="3"/>
      <c r="D38" s="3" t="s">
        <v>48</v>
      </c>
      <c r="E38" s="3" t="s">
        <v>145</v>
      </c>
      <c r="F38" s="66"/>
      <c r="G38" s="2"/>
      <c r="H38" s="13"/>
      <c r="I38" s="13">
        <f t="shared" si="18"/>
        <v>0</v>
      </c>
      <c r="J38" s="13">
        <f t="shared" si="17"/>
        <v>0</v>
      </c>
      <c r="K38" s="13"/>
      <c r="L38" s="13">
        <f t="shared" si="19"/>
        <v>0</v>
      </c>
      <c r="M38" s="13"/>
      <c r="N38" s="13">
        <f t="shared" si="20"/>
        <v>0</v>
      </c>
      <c r="O38" s="13"/>
      <c r="P38" s="13">
        <f t="shared" si="21"/>
        <v>0</v>
      </c>
      <c r="Q38" s="39"/>
      <c r="R38" s="13">
        <f t="shared" si="22"/>
        <v>0</v>
      </c>
      <c r="S38" s="13">
        <f t="shared" si="23"/>
        <v>0</v>
      </c>
      <c r="T38" s="39"/>
      <c r="U38" s="13">
        <f t="shared" si="24"/>
        <v>0</v>
      </c>
      <c r="V38" s="13">
        <f t="shared" si="25"/>
        <v>0</v>
      </c>
      <c r="W38" s="3"/>
      <c r="X38" s="59"/>
      <c r="Y38" s="3"/>
    </row>
    <row r="39" spans="1:25" s="4" customFormat="1" ht="11.25">
      <c r="A39" s="51">
        <v>2.05</v>
      </c>
      <c r="B39" s="3"/>
      <c r="C39" s="3"/>
      <c r="D39" s="3" t="s">
        <v>49</v>
      </c>
      <c r="E39" s="3" t="s">
        <v>145</v>
      </c>
      <c r="F39" s="66"/>
      <c r="G39" s="2"/>
      <c r="H39" s="13"/>
      <c r="I39" s="13">
        <f t="shared" si="18"/>
        <v>0</v>
      </c>
      <c r="J39" s="13">
        <f t="shared" si="17"/>
        <v>0</v>
      </c>
      <c r="K39" s="13"/>
      <c r="L39" s="13">
        <f t="shared" si="19"/>
        <v>0</v>
      </c>
      <c r="M39" s="13"/>
      <c r="N39" s="13">
        <f t="shared" si="20"/>
        <v>0</v>
      </c>
      <c r="O39" s="13"/>
      <c r="P39" s="13">
        <f t="shared" si="21"/>
        <v>0</v>
      </c>
      <c r="Q39" s="39"/>
      <c r="R39" s="13">
        <f t="shared" si="22"/>
        <v>0</v>
      </c>
      <c r="S39" s="13">
        <f t="shared" si="23"/>
        <v>0</v>
      </c>
      <c r="T39" s="39"/>
      <c r="U39" s="13">
        <f t="shared" si="24"/>
        <v>0</v>
      </c>
      <c r="V39" s="13">
        <f t="shared" si="25"/>
        <v>0</v>
      </c>
      <c r="W39" s="3"/>
      <c r="X39" s="59"/>
      <c r="Y39" s="3"/>
    </row>
    <row r="40" spans="1:25" s="4" customFormat="1" ht="11.25">
      <c r="A40" s="51">
        <v>2.06</v>
      </c>
      <c r="B40" s="3"/>
      <c r="C40" s="3"/>
      <c r="D40" s="3" t="s">
        <v>50</v>
      </c>
      <c r="E40" s="3" t="s">
        <v>145</v>
      </c>
      <c r="F40" s="66"/>
      <c r="G40" s="2"/>
      <c r="H40" s="13"/>
      <c r="I40" s="13">
        <f t="shared" si="18"/>
        <v>0</v>
      </c>
      <c r="J40" s="13">
        <f t="shared" si="17"/>
        <v>0</v>
      </c>
      <c r="K40" s="13"/>
      <c r="L40" s="13">
        <f t="shared" si="19"/>
        <v>0</v>
      </c>
      <c r="M40" s="13"/>
      <c r="N40" s="13">
        <f t="shared" si="20"/>
        <v>0</v>
      </c>
      <c r="O40" s="13"/>
      <c r="P40" s="13">
        <f t="shared" si="21"/>
        <v>0</v>
      </c>
      <c r="Q40" s="39"/>
      <c r="R40" s="13">
        <f t="shared" si="22"/>
        <v>0</v>
      </c>
      <c r="S40" s="13">
        <f t="shared" si="23"/>
        <v>0</v>
      </c>
      <c r="T40" s="39"/>
      <c r="U40" s="13">
        <f t="shared" si="24"/>
        <v>0</v>
      </c>
      <c r="V40" s="13">
        <f t="shared" si="25"/>
        <v>0</v>
      </c>
      <c r="W40" s="3"/>
      <c r="X40" s="59"/>
      <c r="Y40" s="3"/>
    </row>
    <row r="41" spans="1:25" s="4" customFormat="1" ht="33.75">
      <c r="A41" s="51">
        <v>2.07</v>
      </c>
      <c r="B41" s="3"/>
      <c r="C41" s="3"/>
      <c r="D41" s="3" t="s">
        <v>51</v>
      </c>
      <c r="E41" s="3" t="s">
        <v>132</v>
      </c>
      <c r="F41" s="66">
        <f>4*7</f>
        <v>28</v>
      </c>
      <c r="G41" s="58" t="s">
        <v>75</v>
      </c>
      <c r="H41" s="13"/>
      <c r="I41" s="13">
        <f>F41*H41</f>
        <v>0</v>
      </c>
      <c r="J41" s="13">
        <f t="shared" si="17"/>
        <v>0</v>
      </c>
      <c r="K41" s="13"/>
      <c r="L41" s="13">
        <f>F41*K41</f>
        <v>0</v>
      </c>
      <c r="M41" s="65">
        <f>984+(2*100)</f>
        <v>1184</v>
      </c>
      <c r="N41" s="13">
        <f>F41*M41</f>
        <v>33152</v>
      </c>
      <c r="O41" s="13"/>
      <c r="P41" s="13">
        <f>F41*O41</f>
        <v>0</v>
      </c>
      <c r="Q41" s="39"/>
      <c r="R41" s="13">
        <f>(J41+L41+N41+P41)*Q41</f>
        <v>0</v>
      </c>
      <c r="S41" s="13">
        <f>J41+L41+N41+P41+R41</f>
        <v>33152</v>
      </c>
      <c r="T41" s="39">
        <v>0.25</v>
      </c>
      <c r="U41" s="13">
        <f>S41*T41</f>
        <v>8288</v>
      </c>
      <c r="V41" s="13">
        <f>S41+U41</f>
        <v>41440</v>
      </c>
      <c r="W41" s="3"/>
      <c r="X41" s="59"/>
      <c r="Y41" s="3"/>
    </row>
    <row r="42" spans="1:25" s="4" customFormat="1" ht="11.25">
      <c r="A42" s="51">
        <v>2.08</v>
      </c>
      <c r="B42" s="3"/>
      <c r="C42" s="3"/>
      <c r="D42" s="3" t="s">
        <v>52</v>
      </c>
      <c r="E42" s="3" t="s">
        <v>145</v>
      </c>
      <c r="F42" s="66"/>
      <c r="G42" s="2"/>
      <c r="H42" s="13"/>
      <c r="I42" s="13">
        <f>F42*H42</f>
        <v>0</v>
      </c>
      <c r="J42" s="13">
        <f t="shared" si="17"/>
        <v>0</v>
      </c>
      <c r="K42" s="13"/>
      <c r="L42" s="13">
        <f>F42*K42</f>
        <v>0</v>
      </c>
      <c r="M42" s="13"/>
      <c r="N42" s="13">
        <f>F42*M42</f>
        <v>0</v>
      </c>
      <c r="O42" s="13"/>
      <c r="P42" s="13">
        <f>F42*O42</f>
        <v>0</v>
      </c>
      <c r="Q42" s="39"/>
      <c r="R42" s="13">
        <f>(J42+L42+N42+P42)*Q42</f>
        <v>0</v>
      </c>
      <c r="S42" s="13">
        <f>J42+L42+N42+P42+R42</f>
        <v>0</v>
      </c>
      <c r="T42" s="39"/>
      <c r="U42" s="13">
        <f>S42*T42</f>
        <v>0</v>
      </c>
      <c r="V42" s="13">
        <f>S42+U42</f>
        <v>0</v>
      </c>
      <c r="W42" s="3"/>
      <c r="X42" s="59"/>
      <c r="Y42" s="3"/>
    </row>
    <row r="43" spans="1:25" s="4" customFormat="1" ht="11.25">
      <c r="A43" s="51">
        <v>2.09</v>
      </c>
      <c r="B43" s="3"/>
      <c r="C43" s="3"/>
      <c r="D43" s="3" t="s">
        <v>53</v>
      </c>
      <c r="E43" s="3" t="s">
        <v>145</v>
      </c>
      <c r="F43" s="67"/>
      <c r="G43" s="58"/>
      <c r="H43" s="13"/>
      <c r="I43" s="13">
        <f>F43*H43</f>
        <v>0</v>
      </c>
      <c r="J43" s="13">
        <f t="shared" si="17"/>
        <v>0</v>
      </c>
      <c r="K43" s="13"/>
      <c r="L43" s="13">
        <f>F43*K43</f>
        <v>0</v>
      </c>
      <c r="M43" s="13"/>
      <c r="N43" s="13">
        <f>F43*M43</f>
        <v>0</v>
      </c>
      <c r="O43" s="13"/>
      <c r="P43" s="13">
        <f>F43*O43</f>
        <v>0</v>
      </c>
      <c r="Q43" s="39"/>
      <c r="R43" s="13">
        <f>(J43+L43+N43+P43)*Q43</f>
        <v>0</v>
      </c>
      <c r="S43" s="13">
        <f>J43+L43+N43+P43+R43</f>
        <v>0</v>
      </c>
      <c r="T43" s="39"/>
      <c r="U43" s="13">
        <f>S43*T43</f>
        <v>0</v>
      </c>
      <c r="V43" s="13">
        <f>S43+U43</f>
        <v>0</v>
      </c>
      <c r="W43" s="3"/>
      <c r="X43" s="59"/>
      <c r="Y43" s="3"/>
    </row>
    <row r="44" spans="1:25" s="4" customFormat="1" ht="11.25">
      <c r="A44" s="51">
        <v>2.1</v>
      </c>
      <c r="B44" s="3"/>
      <c r="C44" s="3"/>
      <c r="D44" s="3" t="s">
        <v>54</v>
      </c>
      <c r="E44" s="3" t="s">
        <v>145</v>
      </c>
      <c r="F44" s="66"/>
      <c r="G44" s="2"/>
      <c r="H44" s="13"/>
      <c r="I44" s="13">
        <f>F44*H44</f>
        <v>0</v>
      </c>
      <c r="J44" s="13">
        <f t="shared" si="17"/>
        <v>0</v>
      </c>
      <c r="K44" s="13"/>
      <c r="L44" s="13">
        <f>F44*K44</f>
        <v>0</v>
      </c>
      <c r="M44" s="13"/>
      <c r="N44" s="13">
        <f>F44*M44</f>
        <v>0</v>
      </c>
      <c r="O44" s="13"/>
      <c r="P44" s="13">
        <f>F44*O44</f>
        <v>0</v>
      </c>
      <c r="Q44" s="39"/>
      <c r="R44" s="13">
        <f>(J44+L44+N44+P44)*Q44</f>
        <v>0</v>
      </c>
      <c r="S44" s="13">
        <f>J44+L44+N44+P44+R44</f>
        <v>0</v>
      </c>
      <c r="T44" s="39"/>
      <c r="U44" s="13">
        <f>S44*T44</f>
        <v>0</v>
      </c>
      <c r="V44" s="13">
        <f>S44+U44</f>
        <v>0</v>
      </c>
      <c r="W44" s="3"/>
      <c r="X44" s="59"/>
      <c r="Y44" s="3"/>
    </row>
    <row r="45" spans="1:25" s="4" customFormat="1" ht="11.25">
      <c r="A45" s="51">
        <v>2.11</v>
      </c>
      <c r="B45" s="3"/>
      <c r="C45" s="3"/>
      <c r="D45" s="3" t="s">
        <v>55</v>
      </c>
      <c r="E45" s="3" t="s">
        <v>145</v>
      </c>
      <c r="F45" s="66"/>
      <c r="G45" s="2"/>
      <c r="H45" s="13"/>
      <c r="I45" s="13">
        <f>F45*H45</f>
        <v>0</v>
      </c>
      <c r="J45" s="13">
        <f t="shared" si="17"/>
        <v>0</v>
      </c>
      <c r="K45" s="13"/>
      <c r="L45" s="13">
        <f>F45*K45</f>
        <v>0</v>
      </c>
      <c r="M45" s="13"/>
      <c r="N45" s="13">
        <f>F45*M45</f>
        <v>0</v>
      </c>
      <c r="O45" s="13"/>
      <c r="P45" s="13">
        <f>F45*O45</f>
        <v>0</v>
      </c>
      <c r="Q45" s="39"/>
      <c r="R45" s="13">
        <f>(J45+L45+N45+P45)*Q45</f>
        <v>0</v>
      </c>
      <c r="S45" s="13">
        <f>J45+L45+N45+P45+R45</f>
        <v>0</v>
      </c>
      <c r="T45" s="39"/>
      <c r="U45" s="13">
        <f>S45*T45</f>
        <v>0</v>
      </c>
      <c r="V45" s="13">
        <f>S45+U45</f>
        <v>0</v>
      </c>
      <c r="W45" s="3"/>
      <c r="X45" s="59"/>
      <c r="Y45" s="3"/>
    </row>
    <row r="46" spans="1:25" s="4" customFormat="1" ht="11.25">
      <c r="A46" s="51">
        <v>2.12</v>
      </c>
      <c r="B46" s="3"/>
      <c r="C46" s="3"/>
      <c r="D46" s="3" t="s">
        <v>56</v>
      </c>
      <c r="E46" s="3" t="s">
        <v>145</v>
      </c>
      <c r="F46" s="66"/>
      <c r="G46" s="2"/>
      <c r="H46" s="13"/>
      <c r="I46" s="13">
        <f t="shared" si="18"/>
        <v>0</v>
      </c>
      <c r="J46" s="13">
        <f t="shared" si="17"/>
        <v>0</v>
      </c>
      <c r="K46" s="13"/>
      <c r="L46" s="13">
        <f t="shared" si="19"/>
        <v>0</v>
      </c>
      <c r="M46" s="13"/>
      <c r="N46" s="13">
        <f t="shared" si="20"/>
        <v>0</v>
      </c>
      <c r="O46" s="13"/>
      <c r="P46" s="13">
        <f t="shared" si="21"/>
        <v>0</v>
      </c>
      <c r="Q46" s="39"/>
      <c r="R46" s="13">
        <f t="shared" si="22"/>
        <v>0</v>
      </c>
      <c r="S46" s="13">
        <f t="shared" si="23"/>
        <v>0</v>
      </c>
      <c r="T46" s="39"/>
      <c r="U46" s="13">
        <f t="shared" si="24"/>
        <v>0</v>
      </c>
      <c r="V46" s="13">
        <f t="shared" si="25"/>
        <v>0</v>
      </c>
      <c r="W46" s="3"/>
      <c r="X46" s="59"/>
      <c r="Y46" s="3"/>
    </row>
    <row r="47" spans="1:25" s="4" customFormat="1" ht="22.5">
      <c r="A47" s="51">
        <v>2.13</v>
      </c>
      <c r="B47" s="3"/>
      <c r="C47" s="3"/>
      <c r="D47" s="3" t="s">
        <v>57</v>
      </c>
      <c r="E47" s="3"/>
      <c r="F47" s="70"/>
      <c r="G47" s="58"/>
      <c r="H47" s="13"/>
      <c r="I47" s="13">
        <f t="shared" si="18"/>
        <v>0</v>
      </c>
      <c r="J47" s="13">
        <f t="shared" si="17"/>
        <v>0</v>
      </c>
      <c r="K47" s="13"/>
      <c r="L47" s="13">
        <f t="shared" si="19"/>
        <v>0</v>
      </c>
      <c r="M47" s="65">
        <f>V31</f>
        <v>815318.947105</v>
      </c>
      <c r="N47" s="13">
        <f t="shared" si="20"/>
        <v>0</v>
      </c>
      <c r="O47" s="13"/>
      <c r="P47" s="13">
        <f t="shared" si="21"/>
        <v>0</v>
      </c>
      <c r="Q47" s="39"/>
      <c r="R47" s="13">
        <f t="shared" si="22"/>
        <v>0</v>
      </c>
      <c r="S47" s="13">
        <f t="shared" si="23"/>
        <v>0</v>
      </c>
      <c r="T47" s="39">
        <v>0.25</v>
      </c>
      <c r="U47" s="13">
        <f t="shared" si="24"/>
        <v>0</v>
      </c>
      <c r="V47" s="13">
        <f t="shared" si="25"/>
        <v>0</v>
      </c>
      <c r="W47" s="3"/>
      <c r="X47" s="59"/>
      <c r="Y47" s="3"/>
    </row>
    <row r="48" spans="1:25" s="4" customFormat="1" ht="22.5">
      <c r="A48" s="51">
        <v>2.14</v>
      </c>
      <c r="B48" s="3"/>
      <c r="C48" s="3"/>
      <c r="D48" s="3" t="s">
        <v>64</v>
      </c>
      <c r="E48" s="3" t="s">
        <v>145</v>
      </c>
      <c r="F48" s="66"/>
      <c r="G48" s="2"/>
      <c r="H48" s="13"/>
      <c r="I48" s="13">
        <f t="shared" si="18"/>
        <v>0</v>
      </c>
      <c r="J48" s="13">
        <f t="shared" si="17"/>
        <v>0</v>
      </c>
      <c r="K48" s="13"/>
      <c r="L48" s="13">
        <f t="shared" si="19"/>
        <v>0</v>
      </c>
      <c r="M48" s="65"/>
      <c r="N48" s="13">
        <f t="shared" si="20"/>
        <v>0</v>
      </c>
      <c r="O48" s="13"/>
      <c r="P48" s="13">
        <f t="shared" si="21"/>
        <v>0</v>
      </c>
      <c r="Q48" s="39"/>
      <c r="R48" s="13">
        <f t="shared" si="22"/>
        <v>0</v>
      </c>
      <c r="S48" s="13">
        <f t="shared" si="23"/>
        <v>0</v>
      </c>
      <c r="T48" s="39"/>
      <c r="U48" s="13">
        <f t="shared" si="24"/>
        <v>0</v>
      </c>
      <c r="V48" s="13">
        <f t="shared" si="25"/>
        <v>0</v>
      </c>
      <c r="W48" s="3"/>
      <c r="X48" s="59"/>
      <c r="Y48" s="3"/>
    </row>
    <row r="49" spans="1:25" s="4" customFormat="1" ht="11.25">
      <c r="A49" s="51">
        <v>2.15</v>
      </c>
      <c r="B49" s="3"/>
      <c r="C49" s="3"/>
      <c r="D49" s="3" t="s">
        <v>58</v>
      </c>
      <c r="E49" s="3" t="s">
        <v>145</v>
      </c>
      <c r="F49" s="66"/>
      <c r="G49" s="2"/>
      <c r="H49" s="13"/>
      <c r="I49" s="13">
        <f t="shared" si="18"/>
        <v>0</v>
      </c>
      <c r="J49" s="13">
        <f t="shared" si="17"/>
        <v>0</v>
      </c>
      <c r="K49" s="13"/>
      <c r="L49" s="13">
        <f t="shared" si="19"/>
        <v>0</v>
      </c>
      <c r="M49" s="13"/>
      <c r="N49" s="13">
        <f t="shared" si="20"/>
        <v>0</v>
      </c>
      <c r="O49" s="13"/>
      <c r="P49" s="13">
        <f t="shared" si="21"/>
        <v>0</v>
      </c>
      <c r="Q49" s="39"/>
      <c r="R49" s="13">
        <f t="shared" si="22"/>
        <v>0</v>
      </c>
      <c r="S49" s="13">
        <f t="shared" si="23"/>
        <v>0</v>
      </c>
      <c r="T49" s="39"/>
      <c r="U49" s="13">
        <f t="shared" si="24"/>
        <v>0</v>
      </c>
      <c r="V49" s="13">
        <f t="shared" si="25"/>
        <v>0</v>
      </c>
      <c r="W49" s="3"/>
      <c r="X49" s="59"/>
      <c r="Y49" s="3"/>
    </row>
    <row r="50" spans="1:25" s="4" customFormat="1" ht="11.25">
      <c r="A50" s="51">
        <v>2.16</v>
      </c>
      <c r="B50" s="3"/>
      <c r="C50" s="3"/>
      <c r="D50" s="3" t="s">
        <v>59</v>
      </c>
      <c r="E50" s="3" t="s">
        <v>145</v>
      </c>
      <c r="F50" s="66"/>
      <c r="G50" s="2"/>
      <c r="H50" s="13"/>
      <c r="I50" s="13">
        <f t="shared" si="18"/>
        <v>0</v>
      </c>
      <c r="J50" s="13">
        <f t="shared" si="17"/>
        <v>0</v>
      </c>
      <c r="K50" s="13"/>
      <c r="L50" s="13">
        <f t="shared" si="19"/>
        <v>0</v>
      </c>
      <c r="M50" s="13"/>
      <c r="N50" s="13">
        <f t="shared" si="20"/>
        <v>0</v>
      </c>
      <c r="O50" s="13"/>
      <c r="P50" s="13">
        <f t="shared" si="21"/>
        <v>0</v>
      </c>
      <c r="Q50" s="39"/>
      <c r="R50" s="13">
        <f t="shared" si="22"/>
        <v>0</v>
      </c>
      <c r="S50" s="13">
        <f t="shared" si="23"/>
        <v>0</v>
      </c>
      <c r="T50" s="39"/>
      <c r="U50" s="13">
        <f t="shared" si="24"/>
        <v>0</v>
      </c>
      <c r="V50" s="13">
        <f t="shared" si="25"/>
        <v>0</v>
      </c>
      <c r="W50" s="3"/>
      <c r="X50" s="59"/>
      <c r="Y50" s="3"/>
    </row>
    <row r="51" spans="2:25" s="14" customFormat="1" ht="24.75" customHeight="1">
      <c r="B51" s="97" t="s">
        <v>40</v>
      </c>
      <c r="C51" s="98"/>
      <c r="D51" s="98"/>
      <c r="E51" s="98"/>
      <c r="F51" s="98"/>
      <c r="G51" s="98"/>
      <c r="H51" s="99"/>
      <c r="I51" s="37">
        <f>SUM(I35:I50)</f>
        <v>0</v>
      </c>
      <c r="J51" s="37">
        <f>SUM(J35:J50)</f>
        <v>0</v>
      </c>
      <c r="K51" s="36"/>
      <c r="L51" s="37">
        <f>SUM(L35:L50)</f>
        <v>0</v>
      </c>
      <c r="M51" s="36"/>
      <c r="N51" s="37">
        <f>SUM(N35:N50)</f>
        <v>242217.94735525</v>
      </c>
      <c r="O51" s="36"/>
      <c r="P51" s="37">
        <f>SUM(P35:P50)</f>
        <v>0</v>
      </c>
      <c r="Q51" s="42">
        <f>R51/S51</f>
        <v>0</v>
      </c>
      <c r="R51" s="37">
        <f>SUM(R35:R50)</f>
        <v>0</v>
      </c>
      <c r="S51" s="37">
        <f>SUM(S35:S50)</f>
        <v>242217.94735525</v>
      </c>
      <c r="T51" s="42">
        <f>U51/S51</f>
        <v>0.25</v>
      </c>
      <c r="U51" s="37">
        <f>SUM(U35:U50)</f>
        <v>60554.4868388125</v>
      </c>
      <c r="V51" s="37">
        <f>SUM(V35:V50)</f>
        <v>302772.4341940625</v>
      </c>
      <c r="W51" s="4"/>
      <c r="X51" s="1"/>
      <c r="Y51" s="4"/>
    </row>
    <row r="52" spans="2:25" s="4" customFormat="1" ht="4.5" customHeight="1">
      <c r="B52" s="46"/>
      <c r="C52" s="46"/>
      <c r="D52" s="46"/>
      <c r="E52" s="46"/>
      <c r="F52" s="47"/>
      <c r="G52" s="63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47"/>
      <c r="S52" s="47"/>
      <c r="T52" s="48"/>
      <c r="U52" s="47"/>
      <c r="V52" s="47"/>
      <c r="W52" s="46"/>
      <c r="X52" s="61"/>
      <c r="Y52" s="46"/>
    </row>
    <row r="53" spans="2:25" s="4" customFormat="1" ht="11.25">
      <c r="B53" s="50" t="s">
        <v>41</v>
      </c>
      <c r="C53" s="46"/>
      <c r="D53" s="46"/>
      <c r="E53" s="46"/>
      <c r="F53" s="47"/>
      <c r="G53" s="63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47"/>
      <c r="S53" s="47"/>
      <c r="T53" s="48"/>
      <c r="U53" s="47"/>
      <c r="V53" s="47"/>
      <c r="W53" s="46"/>
      <c r="X53" s="61"/>
      <c r="Y53" s="46"/>
    </row>
    <row r="54" spans="2:25" s="4" customFormat="1" ht="4.5" customHeight="1">
      <c r="B54" s="46"/>
      <c r="C54" s="46"/>
      <c r="D54" s="46"/>
      <c r="E54" s="46"/>
      <c r="F54" s="47"/>
      <c r="G54" s="63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8"/>
      <c r="U54" s="47"/>
      <c r="V54" s="47"/>
      <c r="W54" s="46"/>
      <c r="X54" s="61"/>
      <c r="Y54" s="46"/>
    </row>
    <row r="55" spans="1:25" s="4" customFormat="1" ht="11.25">
      <c r="A55" s="51">
        <v>3.01</v>
      </c>
      <c r="B55" s="3"/>
      <c r="C55" s="3"/>
      <c r="D55" s="3" t="s">
        <v>43</v>
      </c>
      <c r="E55" s="3"/>
      <c r="F55" s="70">
        <v>0.1</v>
      </c>
      <c r="G55" s="2"/>
      <c r="H55" s="13"/>
      <c r="I55" s="13">
        <f>F55*H55</f>
        <v>0</v>
      </c>
      <c r="J55" s="13">
        <f>I55*$L$8</f>
        <v>0</v>
      </c>
      <c r="K55" s="13"/>
      <c r="L55" s="13">
        <f>F55*K55</f>
        <v>0</v>
      </c>
      <c r="M55" s="13">
        <f>S31+S51</f>
        <v>894473.10503925</v>
      </c>
      <c r="N55" s="13">
        <f>F55*M55</f>
        <v>89447.31050392501</v>
      </c>
      <c r="O55" s="13"/>
      <c r="P55" s="13">
        <f>F55*O55</f>
        <v>0</v>
      </c>
      <c r="Q55" s="39"/>
      <c r="R55" s="13">
        <f>(J55+L55+N55+P55)*Q55</f>
        <v>0</v>
      </c>
      <c r="S55" s="13">
        <f>J55+L55+N55+P55+R55</f>
        <v>89447.31050392501</v>
      </c>
      <c r="T55" s="39">
        <v>0.25</v>
      </c>
      <c r="U55" s="13">
        <f>S55*T55</f>
        <v>22361.827625981252</v>
      </c>
      <c r="V55" s="13">
        <f>S55+U55</f>
        <v>111809.13812990626</v>
      </c>
      <c r="W55" s="3"/>
      <c r="X55" s="59"/>
      <c r="Y55" s="3"/>
    </row>
    <row r="56" spans="1:25" s="4" customFormat="1" ht="11.25">
      <c r="A56" s="51">
        <v>3.02</v>
      </c>
      <c r="B56" s="3"/>
      <c r="C56" s="3"/>
      <c r="D56" s="3" t="s">
        <v>33</v>
      </c>
      <c r="E56" s="3"/>
      <c r="F56" s="13"/>
      <c r="G56" s="2"/>
      <c r="H56" s="13"/>
      <c r="I56" s="13">
        <f>F56*H56</f>
        <v>0</v>
      </c>
      <c r="J56" s="13">
        <f>I56*$L$8</f>
        <v>0</v>
      </c>
      <c r="K56" s="13"/>
      <c r="L56" s="13">
        <f>F56*K56</f>
        <v>0</v>
      </c>
      <c r="M56" s="13"/>
      <c r="N56" s="13">
        <f>F56*M56</f>
        <v>0</v>
      </c>
      <c r="O56" s="13"/>
      <c r="P56" s="13">
        <f>F56*O56</f>
        <v>0</v>
      </c>
      <c r="Q56" s="39"/>
      <c r="R56" s="13">
        <f>(J56+L56+N56+P56)*Q56</f>
        <v>0</v>
      </c>
      <c r="S56" s="13">
        <f>J56+L56+N56+P56+R56</f>
        <v>0</v>
      </c>
      <c r="T56" s="39"/>
      <c r="U56" s="13">
        <f>S56*T56</f>
        <v>0</v>
      </c>
      <c r="V56" s="13">
        <f>S56+U56</f>
        <v>0</v>
      </c>
      <c r="W56" s="3"/>
      <c r="X56" s="59"/>
      <c r="Y56" s="3"/>
    </row>
    <row r="57" spans="1:25" s="4" customFormat="1" ht="11.25">
      <c r="A57" s="51">
        <v>3.03</v>
      </c>
      <c r="B57" s="3"/>
      <c r="C57" s="3"/>
      <c r="D57" s="3" t="s">
        <v>37</v>
      </c>
      <c r="E57" s="3"/>
      <c r="F57" s="13"/>
      <c r="G57" s="2"/>
      <c r="H57" s="13"/>
      <c r="I57" s="13">
        <f>F57*H57</f>
        <v>0</v>
      </c>
      <c r="J57" s="13">
        <f>I57*$L$8</f>
        <v>0</v>
      </c>
      <c r="K57" s="13"/>
      <c r="L57" s="13">
        <f>F57*K57</f>
        <v>0</v>
      </c>
      <c r="M57" s="13"/>
      <c r="N57" s="13">
        <f>F57*M57</f>
        <v>0</v>
      </c>
      <c r="O57" s="13"/>
      <c r="P57" s="13">
        <f>F57*O57</f>
        <v>0</v>
      </c>
      <c r="Q57" s="39"/>
      <c r="R57" s="13">
        <f>(J57+L57+N57+P57)*Q57</f>
        <v>0</v>
      </c>
      <c r="S57" s="13">
        <f>J57+L57+N57+P57+R57</f>
        <v>0</v>
      </c>
      <c r="T57" s="39"/>
      <c r="U57" s="13">
        <f>S57*T57</f>
        <v>0</v>
      </c>
      <c r="V57" s="13">
        <f>S57+U57</f>
        <v>0</v>
      </c>
      <c r="W57" s="3"/>
      <c r="X57" s="59"/>
      <c r="Y57" s="3"/>
    </row>
    <row r="58" spans="2:25" s="14" customFormat="1" ht="24.75" customHeight="1">
      <c r="B58" s="97" t="s">
        <v>42</v>
      </c>
      <c r="C58" s="98"/>
      <c r="D58" s="98"/>
      <c r="E58" s="98"/>
      <c r="F58" s="98"/>
      <c r="G58" s="98"/>
      <c r="H58" s="99"/>
      <c r="I58" s="37">
        <f>SUM(I55:I57)</f>
        <v>0</v>
      </c>
      <c r="J58" s="37">
        <f>SUM(J55:J57)</f>
        <v>0</v>
      </c>
      <c r="K58" s="36"/>
      <c r="L58" s="37">
        <f>SUM(L55:L57)</f>
        <v>0</v>
      </c>
      <c r="M58" s="36"/>
      <c r="N58" s="37">
        <f>SUM(N55:N57)</f>
        <v>89447.31050392501</v>
      </c>
      <c r="O58" s="36"/>
      <c r="P58" s="37">
        <f>SUM(P55:P57)</f>
        <v>0</v>
      </c>
      <c r="Q58" s="42">
        <f>R58/S58</f>
        <v>0</v>
      </c>
      <c r="R58" s="37">
        <f>SUM(R55:R57)</f>
        <v>0</v>
      </c>
      <c r="S58" s="37">
        <f>SUM(S55:S57)</f>
        <v>89447.31050392501</v>
      </c>
      <c r="T58" s="42">
        <f>U58/S58</f>
        <v>0.25</v>
      </c>
      <c r="U58" s="37">
        <f>SUM(U55:U57)</f>
        <v>22361.827625981252</v>
      </c>
      <c r="V58" s="37">
        <f>SUM(V55:V57)</f>
        <v>111809.13812990626</v>
      </c>
      <c r="W58" s="4"/>
      <c r="X58" s="1"/>
      <c r="Y58" s="4"/>
    </row>
    <row r="59" spans="7:24" s="4" customFormat="1" ht="11.25">
      <c r="G59" s="12"/>
      <c r="X59" s="1"/>
    </row>
    <row r="60" spans="2:25" s="14" customFormat="1" ht="24.75" customHeight="1">
      <c r="B60" s="97" t="s">
        <v>45</v>
      </c>
      <c r="C60" s="98"/>
      <c r="D60" s="98"/>
      <c r="E60" s="98"/>
      <c r="F60" s="98"/>
      <c r="G60" s="98"/>
      <c r="H60" s="99"/>
      <c r="I60" s="37"/>
      <c r="J60" s="37"/>
      <c r="K60" s="36"/>
      <c r="L60" s="37"/>
      <c r="M60" s="36"/>
      <c r="N60" s="37"/>
      <c r="O60" s="36"/>
      <c r="P60" s="37"/>
      <c r="Q60" s="42"/>
      <c r="R60" s="37"/>
      <c r="S60" s="37">
        <f>S31+S51+S58</f>
        <v>983920.415543175</v>
      </c>
      <c r="T60" s="42">
        <f>U60/S60</f>
        <v>0.25</v>
      </c>
      <c r="U60" s="37">
        <f>U31+U51+U58</f>
        <v>245980.10388579374</v>
      </c>
      <c r="V60" s="37">
        <f>V31+V51+V58</f>
        <v>1229900.519428969</v>
      </c>
      <c r="W60" s="4"/>
      <c r="X60" s="1"/>
      <c r="Y60" s="4"/>
    </row>
    <row r="61" spans="7:24" s="4" customFormat="1" ht="11.25">
      <c r="G61" s="12"/>
      <c r="X61" s="1"/>
    </row>
    <row r="62" spans="7:24" s="4" customFormat="1" ht="11.25">
      <c r="G62" s="12"/>
      <c r="X62" s="1"/>
    </row>
    <row r="63" spans="3:25" s="4" customFormat="1" ht="11.25">
      <c r="C63" s="1"/>
      <c r="D63" s="1"/>
      <c r="E63" s="1"/>
      <c r="F63" s="1"/>
      <c r="G63" s="4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3:25" s="4" customFormat="1" ht="11.25">
      <c r="C64" s="1"/>
      <c r="D64" s="1"/>
      <c r="E64" s="1"/>
      <c r="F64" s="1"/>
      <c r="G64" s="4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3:25" s="4" customFormat="1" ht="11.25">
      <c r="C65" s="1"/>
      <c r="D65" s="1"/>
      <c r="E65" s="1"/>
      <c r="F65" s="1"/>
      <c r="G65" s="4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7:24" s="4" customFormat="1" ht="11.25">
      <c r="G66" s="12"/>
      <c r="X66" s="1"/>
    </row>
    <row r="67" spans="7:24" s="4" customFormat="1" ht="11.25">
      <c r="G67" s="12"/>
      <c r="X67" s="1"/>
    </row>
    <row r="68" spans="7:24" s="4" customFormat="1" ht="11.25">
      <c r="G68" s="12"/>
      <c r="X68" s="1"/>
    </row>
    <row r="69" spans="7:24" s="4" customFormat="1" ht="11.25">
      <c r="G69" s="12"/>
      <c r="X69" s="1"/>
    </row>
    <row r="70" spans="7:24" s="4" customFormat="1" ht="11.25">
      <c r="G70" s="12"/>
      <c r="X70" s="1"/>
    </row>
    <row r="71" spans="7:24" s="4" customFormat="1" ht="11.25">
      <c r="G71" s="12"/>
      <c r="X71" s="1"/>
    </row>
    <row r="72" spans="7:24" s="4" customFormat="1" ht="11.25">
      <c r="G72" s="12"/>
      <c r="X72" s="1"/>
    </row>
    <row r="73" spans="7:24" s="4" customFormat="1" ht="11.25">
      <c r="G73" s="12"/>
      <c r="X73" s="1"/>
    </row>
    <row r="74" spans="7:24" s="4" customFormat="1" ht="11.25">
      <c r="G74" s="12"/>
      <c r="X74" s="1"/>
    </row>
    <row r="75" spans="7:24" s="4" customFormat="1" ht="11.25">
      <c r="G75" s="12"/>
      <c r="X75" s="1"/>
    </row>
    <row r="76" spans="7:24" s="4" customFormat="1" ht="11.25">
      <c r="G76" s="12"/>
      <c r="X76" s="1"/>
    </row>
    <row r="77" spans="7:24" s="4" customFormat="1" ht="11.25">
      <c r="G77" s="12"/>
      <c r="X77" s="1"/>
    </row>
    <row r="78" spans="7:24" s="4" customFormat="1" ht="11.25">
      <c r="G78" s="12"/>
      <c r="X78" s="1"/>
    </row>
    <row r="79" spans="7:24" s="4" customFormat="1" ht="11.25">
      <c r="G79" s="12"/>
      <c r="X79" s="1"/>
    </row>
    <row r="80" spans="7:24" s="4" customFormat="1" ht="11.25">
      <c r="G80" s="12"/>
      <c r="X80" s="1"/>
    </row>
    <row r="81" spans="7:24" s="4" customFormat="1" ht="11.25">
      <c r="G81" s="12"/>
      <c r="X81" s="1"/>
    </row>
    <row r="82" spans="7:24" s="4" customFormat="1" ht="11.25">
      <c r="G82" s="12"/>
      <c r="X82" s="1"/>
    </row>
    <row r="83" spans="7:24" s="4" customFormat="1" ht="11.25">
      <c r="G83" s="12"/>
      <c r="X83" s="1"/>
    </row>
    <row r="84" spans="7:24" s="4" customFormat="1" ht="11.25">
      <c r="G84" s="12"/>
      <c r="X84" s="1"/>
    </row>
    <row r="85" spans="7:24" s="4" customFormat="1" ht="11.25">
      <c r="G85" s="12"/>
      <c r="X85" s="1"/>
    </row>
    <row r="86" spans="7:24" s="4" customFormat="1" ht="11.25">
      <c r="G86" s="12"/>
      <c r="X86" s="1"/>
    </row>
    <row r="87" spans="7:24" s="4" customFormat="1" ht="11.25">
      <c r="G87" s="12"/>
      <c r="X87" s="1"/>
    </row>
  </sheetData>
  <sheetProtection/>
  <mergeCells count="4">
    <mergeCell ref="B31:H31"/>
    <mergeCell ref="B51:H51"/>
    <mergeCell ref="B58:H58"/>
    <mergeCell ref="B60:H6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17" scale="87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72"/>
  <sheetViews>
    <sheetView zoomScalePageLayoutView="0" workbookViewId="0" topLeftCell="A1">
      <selection activeCell="C13" sqref="C13:G13"/>
    </sheetView>
  </sheetViews>
  <sheetFormatPr defaultColWidth="9.33203125" defaultRowHeight="11.25"/>
  <cols>
    <col min="1" max="1" width="1.171875" style="0" customWidth="1"/>
    <col min="2" max="2" width="3.83203125" style="0" customWidth="1"/>
    <col min="3" max="3" width="23.83203125" style="0" bestFit="1" customWidth="1"/>
    <col min="4" max="4" width="49.83203125" style="0" customWidth="1"/>
    <col min="5" max="5" width="13.33203125" style="0" customWidth="1"/>
    <col min="6" max="6" width="7" style="0" bestFit="1" customWidth="1"/>
    <col min="7" max="7" width="11.66015625" style="0" bestFit="1" customWidth="1"/>
    <col min="8" max="8" width="3.83203125" style="0" customWidth="1"/>
  </cols>
  <sheetData>
    <row r="2" ht="15.75">
      <c r="B2" s="71" t="s">
        <v>76</v>
      </c>
    </row>
    <row r="3" ht="12" thickBot="1"/>
    <row r="4" spans="2:8" ht="11.25">
      <c r="B4" s="118"/>
      <c r="C4" s="119"/>
      <c r="D4" s="119"/>
      <c r="E4" s="119"/>
      <c r="F4" s="119"/>
      <c r="G4" s="119"/>
      <c r="H4" s="120"/>
    </row>
    <row r="5" spans="2:8" ht="15">
      <c r="B5" s="72"/>
      <c r="C5" s="73" t="s">
        <v>77</v>
      </c>
      <c r="D5" s="115" t="s">
        <v>109</v>
      </c>
      <c r="E5" s="115"/>
      <c r="F5" s="115"/>
      <c r="G5" s="115"/>
      <c r="H5" s="74"/>
    </row>
    <row r="6" spans="2:8" ht="15">
      <c r="B6" s="72"/>
      <c r="C6" s="75" t="s">
        <v>7</v>
      </c>
      <c r="D6" s="115" t="str">
        <f>'Detail Costs'!D5</f>
        <v>Assessment and Abandoned Mines</v>
      </c>
      <c r="E6" s="115"/>
      <c r="F6" s="115"/>
      <c r="G6" s="115"/>
      <c r="H6" s="74"/>
    </row>
    <row r="7" spans="2:8" ht="15">
      <c r="B7" s="72"/>
      <c r="C7" s="75" t="s">
        <v>8</v>
      </c>
      <c r="D7" s="115" t="str">
        <f>'Detail Costs'!D6</f>
        <v>Clinton Creek Site LCCA - Repair 12 Drop Structures</v>
      </c>
      <c r="E7" s="115"/>
      <c r="F7" s="115"/>
      <c r="G7" s="115"/>
      <c r="H7" s="74"/>
    </row>
    <row r="8" spans="2:8" ht="15">
      <c r="B8" s="72"/>
      <c r="C8" s="75" t="s">
        <v>78</v>
      </c>
      <c r="D8" s="115" t="str">
        <f>'[2]Detail Costs'!D7</f>
        <v>307071-00895</v>
      </c>
      <c r="E8" s="115"/>
      <c r="F8" s="115"/>
      <c r="G8" s="115"/>
      <c r="H8" s="74"/>
    </row>
    <row r="9" spans="2:8" ht="15">
      <c r="B9" s="72"/>
      <c r="C9" s="75" t="s">
        <v>79</v>
      </c>
      <c r="D9" s="115"/>
      <c r="E9" s="115"/>
      <c r="F9" s="115"/>
      <c r="G9" s="115"/>
      <c r="H9" s="74"/>
    </row>
    <row r="10" spans="2:8" ht="15">
      <c r="B10" s="72"/>
      <c r="C10" s="75" t="s">
        <v>80</v>
      </c>
      <c r="D10" s="117" t="str">
        <f>'Detail Costs'!F6</f>
        <v> +/-50%</v>
      </c>
      <c r="E10" s="115"/>
      <c r="F10" s="115"/>
      <c r="G10" s="115"/>
      <c r="H10" s="74"/>
    </row>
    <row r="11" spans="2:8" ht="15">
      <c r="B11" s="72"/>
      <c r="C11" s="75" t="s">
        <v>9</v>
      </c>
      <c r="D11" s="113">
        <f>'Detail Costs'!F5</f>
        <v>41726</v>
      </c>
      <c r="E11" s="114"/>
      <c r="F11" s="114"/>
      <c r="G11" s="114"/>
      <c r="H11" s="74"/>
    </row>
    <row r="12" spans="2:8" ht="15">
      <c r="B12" s="72"/>
      <c r="C12" s="115"/>
      <c r="D12" s="115"/>
      <c r="E12" s="115"/>
      <c r="F12" s="115"/>
      <c r="G12" s="115"/>
      <c r="H12" s="74"/>
    </row>
    <row r="13" spans="2:8" ht="15">
      <c r="B13" s="72"/>
      <c r="C13" s="107" t="s">
        <v>81</v>
      </c>
      <c r="D13" s="107"/>
      <c r="E13" s="107"/>
      <c r="F13" s="107"/>
      <c r="G13" s="107"/>
      <c r="H13" s="74"/>
    </row>
    <row r="14" spans="2:8" ht="35.25" customHeight="1">
      <c r="B14" s="72"/>
      <c r="C14" s="108" t="s">
        <v>137</v>
      </c>
      <c r="D14" s="108"/>
      <c r="E14" s="108"/>
      <c r="F14" s="108"/>
      <c r="G14" s="108"/>
      <c r="H14" s="74"/>
    </row>
    <row r="15" spans="2:8" ht="15">
      <c r="B15" s="72"/>
      <c r="C15" s="100"/>
      <c r="D15" s="100"/>
      <c r="E15" s="100"/>
      <c r="F15" s="100"/>
      <c r="G15" s="100"/>
      <c r="H15" s="74"/>
    </row>
    <row r="16" spans="2:8" ht="15">
      <c r="B16" s="72"/>
      <c r="C16" s="107" t="s">
        <v>82</v>
      </c>
      <c r="D16" s="107"/>
      <c r="E16" s="107"/>
      <c r="F16" s="107"/>
      <c r="G16" s="107"/>
      <c r="H16" s="74"/>
    </row>
    <row r="17" spans="2:8" ht="15">
      <c r="B17" s="72"/>
      <c r="C17" s="100" t="s">
        <v>120</v>
      </c>
      <c r="D17" s="100"/>
      <c r="E17" s="100"/>
      <c r="F17" s="100"/>
      <c r="G17" s="100"/>
      <c r="H17" s="74"/>
    </row>
    <row r="18" spans="2:8" ht="15">
      <c r="B18" s="72"/>
      <c r="C18" s="116"/>
      <c r="D18" s="116"/>
      <c r="E18" s="116"/>
      <c r="F18" s="116"/>
      <c r="G18" s="116"/>
      <c r="H18" s="74"/>
    </row>
    <row r="19" spans="2:8" ht="15">
      <c r="B19" s="72"/>
      <c r="C19" s="107" t="s">
        <v>83</v>
      </c>
      <c r="D19" s="107"/>
      <c r="E19" s="107"/>
      <c r="F19" s="107"/>
      <c r="G19" s="107"/>
      <c r="H19" s="74"/>
    </row>
    <row r="20" spans="2:8" ht="29.25" customHeight="1">
      <c r="B20" s="72"/>
      <c r="C20" s="108" t="s">
        <v>138</v>
      </c>
      <c r="D20" s="108"/>
      <c r="E20" s="108"/>
      <c r="F20" s="108"/>
      <c r="G20" s="108"/>
      <c r="H20" s="74"/>
    </row>
    <row r="21" spans="2:8" ht="15">
      <c r="B21" s="72"/>
      <c r="C21" s="90" t="s">
        <v>84</v>
      </c>
      <c r="D21" s="90"/>
      <c r="E21" s="90"/>
      <c r="F21" s="90"/>
      <c r="G21" s="90"/>
      <c r="H21" s="74"/>
    </row>
    <row r="22" spans="2:8" ht="15">
      <c r="B22" s="72"/>
      <c r="C22" s="100" t="s">
        <v>126</v>
      </c>
      <c r="D22" s="100"/>
      <c r="E22" s="100"/>
      <c r="F22" s="100"/>
      <c r="G22" s="100"/>
      <c r="H22" s="74"/>
    </row>
    <row r="23" spans="2:8" ht="15" customHeight="1">
      <c r="B23" s="72"/>
      <c r="C23" s="108" t="s">
        <v>135</v>
      </c>
      <c r="D23" s="108"/>
      <c r="E23" s="108"/>
      <c r="F23" s="108"/>
      <c r="G23" s="108"/>
      <c r="H23" s="74"/>
    </row>
    <row r="24" spans="2:8" ht="15">
      <c r="B24" s="72"/>
      <c r="C24" s="100" t="s">
        <v>110</v>
      </c>
      <c r="D24" s="100"/>
      <c r="E24" s="100"/>
      <c r="F24" s="100"/>
      <c r="G24" s="100"/>
      <c r="H24" s="74"/>
    </row>
    <row r="25" spans="2:8" ht="29.25" customHeight="1">
      <c r="B25" s="72"/>
      <c r="C25" s="108" t="s">
        <v>85</v>
      </c>
      <c r="D25" s="108"/>
      <c r="E25" s="108"/>
      <c r="F25" s="108"/>
      <c r="G25" s="108"/>
      <c r="H25" s="74"/>
    </row>
    <row r="26" spans="2:8" ht="29.25" customHeight="1">
      <c r="B26" s="72"/>
      <c r="C26" s="108" t="s">
        <v>133</v>
      </c>
      <c r="D26" s="108"/>
      <c r="E26" s="108"/>
      <c r="F26" s="108"/>
      <c r="G26" s="108"/>
      <c r="H26" s="74"/>
    </row>
    <row r="27" spans="2:8" ht="30.75" customHeight="1">
      <c r="B27" s="72"/>
      <c r="C27" s="108" t="s">
        <v>86</v>
      </c>
      <c r="D27" s="108"/>
      <c r="E27" s="108"/>
      <c r="F27" s="108"/>
      <c r="G27" s="108"/>
      <c r="H27" s="74"/>
    </row>
    <row r="28" spans="2:8" ht="15">
      <c r="B28" s="72"/>
      <c r="C28" s="100"/>
      <c r="D28" s="100"/>
      <c r="E28" s="100"/>
      <c r="F28" s="100"/>
      <c r="G28" s="100"/>
      <c r="H28" s="74"/>
    </row>
    <row r="29" spans="2:8" ht="15">
      <c r="B29" s="72"/>
      <c r="C29" s="107" t="s">
        <v>87</v>
      </c>
      <c r="D29" s="107"/>
      <c r="E29" s="107"/>
      <c r="F29" s="107"/>
      <c r="G29" s="107"/>
      <c r="H29" s="74"/>
    </row>
    <row r="30" spans="2:8" ht="15" customHeight="1">
      <c r="B30" s="72"/>
      <c r="C30" s="108" t="s">
        <v>127</v>
      </c>
      <c r="D30" s="108"/>
      <c r="E30" s="108"/>
      <c r="F30" s="108"/>
      <c r="G30" s="108"/>
      <c r="H30" s="74"/>
    </row>
    <row r="31" spans="2:8" s="83" customFormat="1" ht="27.75" customHeight="1">
      <c r="B31" s="81"/>
      <c r="C31" s="111" t="s">
        <v>121</v>
      </c>
      <c r="D31" s="111"/>
      <c r="E31" s="111"/>
      <c r="F31" s="111"/>
      <c r="G31" s="111"/>
      <c r="H31" s="82"/>
    </row>
    <row r="32" spans="2:8" ht="15">
      <c r="B32" s="72"/>
      <c r="C32" s="109"/>
      <c r="D32" s="109"/>
      <c r="E32" s="109"/>
      <c r="F32" s="109"/>
      <c r="G32" s="109"/>
      <c r="H32" s="74"/>
    </row>
    <row r="33" spans="2:8" ht="15">
      <c r="B33" s="72"/>
      <c r="C33" s="107" t="s">
        <v>88</v>
      </c>
      <c r="D33" s="107"/>
      <c r="E33" s="107"/>
      <c r="F33" s="107"/>
      <c r="G33" s="107"/>
      <c r="H33" s="74"/>
    </row>
    <row r="34" spans="2:8" s="78" customFormat="1" ht="15">
      <c r="B34" s="76"/>
      <c r="C34" s="92" t="s">
        <v>89</v>
      </c>
      <c r="D34" s="91"/>
      <c r="E34" s="91"/>
      <c r="F34" s="91"/>
      <c r="G34" s="91"/>
      <c r="H34" s="77"/>
    </row>
    <row r="35" spans="2:8" s="78" customFormat="1" ht="15">
      <c r="B35" s="76"/>
      <c r="C35" s="92" t="s">
        <v>128</v>
      </c>
      <c r="D35" s="91"/>
      <c r="E35" s="91"/>
      <c r="F35" s="91"/>
      <c r="G35" s="91"/>
      <c r="H35" s="77"/>
    </row>
    <row r="36" spans="2:8" s="78" customFormat="1" ht="15">
      <c r="B36" s="76"/>
      <c r="C36" s="92" t="s">
        <v>90</v>
      </c>
      <c r="D36" s="91"/>
      <c r="E36" s="91"/>
      <c r="F36" s="91"/>
      <c r="G36" s="91"/>
      <c r="H36" s="77"/>
    </row>
    <row r="37" spans="2:8" s="78" customFormat="1" ht="15">
      <c r="B37" s="76"/>
      <c r="C37" s="92" t="s">
        <v>112</v>
      </c>
      <c r="D37" s="91"/>
      <c r="E37" s="91"/>
      <c r="F37" s="91"/>
      <c r="G37" s="91"/>
      <c r="H37" s="77"/>
    </row>
    <row r="38" spans="2:8" ht="15">
      <c r="B38" s="72"/>
      <c r="C38" s="89" t="s">
        <v>91</v>
      </c>
      <c r="D38" s="89"/>
      <c r="E38" s="89"/>
      <c r="F38" s="89"/>
      <c r="G38" s="89"/>
      <c r="H38" s="74"/>
    </row>
    <row r="39" spans="2:8" ht="15">
      <c r="B39" s="72"/>
      <c r="C39" s="89" t="s">
        <v>123</v>
      </c>
      <c r="D39" s="89"/>
      <c r="E39" s="89"/>
      <c r="F39" s="89"/>
      <c r="G39" s="89"/>
      <c r="H39" s="74"/>
    </row>
    <row r="40" spans="2:8" ht="15">
      <c r="B40" s="72"/>
      <c r="C40" s="89" t="s">
        <v>124</v>
      </c>
      <c r="D40" s="89"/>
      <c r="E40" s="89"/>
      <c r="F40" s="89"/>
      <c r="G40" s="89"/>
      <c r="H40" s="74"/>
    </row>
    <row r="41" spans="2:8" ht="15">
      <c r="B41" s="72"/>
      <c r="C41" s="100" t="s">
        <v>92</v>
      </c>
      <c r="D41" s="100"/>
      <c r="E41" s="100"/>
      <c r="F41" s="100"/>
      <c r="G41" s="100"/>
      <c r="H41" s="74"/>
    </row>
    <row r="42" spans="2:8" ht="15">
      <c r="B42" s="72"/>
      <c r="C42" s="100" t="s">
        <v>93</v>
      </c>
      <c r="D42" s="100"/>
      <c r="E42" s="100"/>
      <c r="F42" s="100"/>
      <c r="G42" s="100"/>
      <c r="H42" s="74"/>
    </row>
    <row r="43" spans="2:8" ht="15">
      <c r="B43" s="72"/>
      <c r="C43" s="89" t="s">
        <v>122</v>
      </c>
      <c r="D43" s="89"/>
      <c r="E43" s="89"/>
      <c r="F43" s="89"/>
      <c r="G43" s="89"/>
      <c r="H43" s="74"/>
    </row>
    <row r="44" spans="2:8" ht="15">
      <c r="B44" s="72"/>
      <c r="C44" s="89" t="s">
        <v>94</v>
      </c>
      <c r="D44" s="89"/>
      <c r="E44" s="89"/>
      <c r="F44" s="89"/>
      <c r="G44" s="89"/>
      <c r="H44" s="74"/>
    </row>
    <row r="45" spans="2:8" ht="15">
      <c r="B45" s="72"/>
      <c r="C45" s="100" t="s">
        <v>119</v>
      </c>
      <c r="D45" s="100"/>
      <c r="E45" s="100"/>
      <c r="F45" s="100"/>
      <c r="G45" s="100"/>
      <c r="H45" s="74"/>
    </row>
    <row r="46" spans="2:8" ht="15">
      <c r="B46" s="72"/>
      <c r="C46" s="89" t="s">
        <v>129</v>
      </c>
      <c r="D46" s="89"/>
      <c r="E46" s="89"/>
      <c r="F46" s="89"/>
      <c r="G46" s="89"/>
      <c r="H46" s="74"/>
    </row>
    <row r="47" spans="2:8" ht="15">
      <c r="B47" s="72"/>
      <c r="C47" s="89" t="s">
        <v>95</v>
      </c>
      <c r="D47" s="89"/>
      <c r="E47" s="89"/>
      <c r="F47" s="89"/>
      <c r="G47" s="89"/>
      <c r="H47" s="74"/>
    </row>
    <row r="48" spans="2:8" ht="15">
      <c r="B48" s="72"/>
      <c r="C48" s="89" t="s">
        <v>96</v>
      </c>
      <c r="D48" s="89"/>
      <c r="E48" s="89"/>
      <c r="F48" s="89"/>
      <c r="G48" s="89"/>
      <c r="H48" s="74"/>
    </row>
    <row r="49" spans="2:8" ht="15">
      <c r="B49" s="72"/>
      <c r="C49" s="100" t="s">
        <v>97</v>
      </c>
      <c r="D49" s="100"/>
      <c r="E49" s="100"/>
      <c r="F49" s="100"/>
      <c r="G49" s="100"/>
      <c r="H49" s="74"/>
    </row>
    <row r="50" spans="2:8" ht="15">
      <c r="B50" s="72"/>
      <c r="C50" s="100" t="s">
        <v>98</v>
      </c>
      <c r="D50" s="100"/>
      <c r="E50" s="100"/>
      <c r="F50" s="100"/>
      <c r="G50" s="100"/>
      <c r="H50" s="74"/>
    </row>
    <row r="51" spans="2:8" ht="15">
      <c r="B51" s="72"/>
      <c r="C51" s="89"/>
      <c r="D51" s="89"/>
      <c r="E51" s="89"/>
      <c r="F51" s="89"/>
      <c r="G51" s="89"/>
      <c r="H51" s="74"/>
    </row>
    <row r="52" spans="2:8" ht="15">
      <c r="B52" s="72"/>
      <c r="C52" s="107" t="s">
        <v>99</v>
      </c>
      <c r="D52" s="107"/>
      <c r="E52" s="107"/>
      <c r="F52" s="107"/>
      <c r="G52" s="107"/>
      <c r="H52" s="74"/>
    </row>
    <row r="53" spans="2:8" ht="15">
      <c r="B53" s="72"/>
      <c r="C53" s="100" t="s">
        <v>100</v>
      </c>
      <c r="D53" s="100"/>
      <c r="E53" s="100"/>
      <c r="F53" s="100"/>
      <c r="G53" s="100"/>
      <c r="H53" s="74"/>
    </row>
    <row r="54" spans="2:8" ht="15">
      <c r="B54" s="72"/>
      <c r="C54" s="100"/>
      <c r="D54" s="100"/>
      <c r="E54" s="100"/>
      <c r="F54" s="100"/>
      <c r="G54" s="100"/>
      <c r="H54" s="74"/>
    </row>
    <row r="55" spans="2:8" ht="15">
      <c r="B55" s="72"/>
      <c r="C55" s="107" t="s">
        <v>101</v>
      </c>
      <c r="D55" s="107"/>
      <c r="E55" s="107"/>
      <c r="F55" s="107"/>
      <c r="G55" s="107"/>
      <c r="H55" s="74"/>
    </row>
    <row r="56" spans="2:8" ht="30.75" customHeight="1">
      <c r="B56" s="72"/>
      <c r="C56" s="108" t="s">
        <v>102</v>
      </c>
      <c r="D56" s="108"/>
      <c r="E56" s="108"/>
      <c r="F56" s="108"/>
      <c r="G56" s="108"/>
      <c r="H56" s="74"/>
    </row>
    <row r="57" spans="2:8" s="83" customFormat="1" ht="30" customHeight="1">
      <c r="B57" s="81"/>
      <c r="C57" s="108" t="s">
        <v>111</v>
      </c>
      <c r="D57" s="108"/>
      <c r="E57" s="108"/>
      <c r="F57" s="108"/>
      <c r="G57" s="108"/>
      <c r="H57" s="82"/>
    </row>
    <row r="58" spans="2:8" ht="30.75" customHeight="1">
      <c r="B58" s="72"/>
      <c r="C58" s="108" t="s">
        <v>103</v>
      </c>
      <c r="D58" s="108"/>
      <c r="E58" s="108"/>
      <c r="F58" s="108"/>
      <c r="G58" s="108"/>
      <c r="H58" s="74"/>
    </row>
    <row r="59" spans="2:8" ht="28.5" customHeight="1">
      <c r="B59" s="72"/>
      <c r="C59" s="111" t="s">
        <v>104</v>
      </c>
      <c r="D59" s="112"/>
      <c r="E59" s="112"/>
      <c r="F59" s="112"/>
      <c r="G59" s="112"/>
      <c r="H59" s="74"/>
    </row>
    <row r="60" spans="2:8" s="83" customFormat="1" ht="15" customHeight="1">
      <c r="B60" s="81"/>
      <c r="C60" s="108"/>
      <c r="D60" s="108"/>
      <c r="E60" s="108"/>
      <c r="F60" s="108"/>
      <c r="G60" s="108"/>
      <c r="H60" s="82"/>
    </row>
    <row r="61" spans="2:8" ht="15">
      <c r="B61" s="72"/>
      <c r="C61" s="107" t="s">
        <v>105</v>
      </c>
      <c r="D61" s="107"/>
      <c r="E61" s="107"/>
      <c r="F61" s="107"/>
      <c r="G61" s="107"/>
      <c r="H61" s="74"/>
    </row>
    <row r="62" spans="2:8" ht="15" customHeight="1">
      <c r="B62" s="72"/>
      <c r="C62" s="108" t="s">
        <v>106</v>
      </c>
      <c r="D62" s="108"/>
      <c r="E62" s="108"/>
      <c r="F62" s="108"/>
      <c r="G62" s="108"/>
      <c r="H62" s="74"/>
    </row>
    <row r="63" spans="2:8" ht="18.75" customHeight="1">
      <c r="B63" s="72"/>
      <c r="C63" s="100" t="s">
        <v>130</v>
      </c>
      <c r="D63" s="100"/>
      <c r="E63" s="100"/>
      <c r="F63" s="100"/>
      <c r="G63" s="100"/>
      <c r="H63" s="74"/>
    </row>
    <row r="64" spans="2:8" ht="15">
      <c r="B64" s="72"/>
      <c r="C64" s="109"/>
      <c r="D64" s="109"/>
      <c r="E64" s="109"/>
      <c r="F64" s="109"/>
      <c r="G64" s="109"/>
      <c r="H64" s="74"/>
    </row>
    <row r="65" spans="2:8" ht="15">
      <c r="B65" s="72"/>
      <c r="C65" s="107" t="s">
        <v>107</v>
      </c>
      <c r="D65" s="107"/>
      <c r="E65" s="107"/>
      <c r="F65" s="107"/>
      <c r="G65" s="107"/>
      <c r="H65" s="74"/>
    </row>
    <row r="66" spans="2:8" ht="15">
      <c r="B66" s="72"/>
      <c r="C66" s="110" t="s">
        <v>108</v>
      </c>
      <c r="D66" s="110"/>
      <c r="E66" s="110"/>
      <c r="F66" s="110"/>
      <c r="G66" s="110"/>
      <c r="H66" s="74"/>
    </row>
    <row r="67" spans="2:8" ht="15" customHeight="1">
      <c r="B67" s="72"/>
      <c r="C67" s="104" t="s">
        <v>131</v>
      </c>
      <c r="D67" s="105"/>
      <c r="E67" s="105"/>
      <c r="F67" s="105"/>
      <c r="G67" s="105"/>
      <c r="H67" s="74"/>
    </row>
    <row r="68" spans="2:8" ht="18" customHeight="1">
      <c r="B68" s="79"/>
      <c r="C68" s="106" t="s">
        <v>134</v>
      </c>
      <c r="D68" s="106"/>
      <c r="E68" s="106"/>
      <c r="F68" s="106"/>
      <c r="G68" s="106"/>
      <c r="H68" s="80"/>
    </row>
    <row r="69" spans="2:8" ht="15" customHeight="1">
      <c r="B69" s="79"/>
      <c r="C69" s="100" t="s">
        <v>113</v>
      </c>
      <c r="D69" s="100"/>
      <c r="E69" s="100"/>
      <c r="F69" s="100"/>
      <c r="G69" s="100"/>
      <c r="H69" s="80"/>
    </row>
    <row r="70" spans="2:8" ht="15">
      <c r="B70" s="79"/>
      <c r="C70" s="100"/>
      <c r="D70" s="100"/>
      <c r="E70" s="100"/>
      <c r="F70" s="100"/>
      <c r="G70" s="100"/>
      <c r="H70" s="80"/>
    </row>
    <row r="71" spans="2:8" ht="15">
      <c r="B71" s="79"/>
      <c r="C71" s="100"/>
      <c r="D71" s="100"/>
      <c r="E71" s="100"/>
      <c r="F71" s="100"/>
      <c r="G71" s="100"/>
      <c r="H71" s="80"/>
    </row>
    <row r="72" spans="2:8" ht="12" thickBot="1">
      <c r="B72" s="101"/>
      <c r="C72" s="102"/>
      <c r="D72" s="102"/>
      <c r="E72" s="102"/>
      <c r="F72" s="102"/>
      <c r="G72" s="102"/>
      <c r="H72" s="103"/>
    </row>
  </sheetData>
  <sheetProtection/>
  <mergeCells count="55">
    <mergeCell ref="D10:G10"/>
    <mergeCell ref="B4:H4"/>
    <mergeCell ref="D5:G5"/>
    <mergeCell ref="D6:G6"/>
    <mergeCell ref="D7:G7"/>
    <mergeCell ref="D8:G8"/>
    <mergeCell ref="D9:G9"/>
    <mergeCell ref="D11:G11"/>
    <mergeCell ref="C12:G12"/>
    <mergeCell ref="C13:G13"/>
    <mergeCell ref="C14:G14"/>
    <mergeCell ref="C15:G15"/>
    <mergeCell ref="C23:G23"/>
    <mergeCell ref="C16:G16"/>
    <mergeCell ref="C17:G17"/>
    <mergeCell ref="C18:G18"/>
    <mergeCell ref="C24:G24"/>
    <mergeCell ref="C25:G25"/>
    <mergeCell ref="C26:G26"/>
    <mergeCell ref="C27:G27"/>
    <mergeCell ref="C19:G19"/>
    <mergeCell ref="C20:G20"/>
    <mergeCell ref="C22:G22"/>
    <mergeCell ref="C32:G32"/>
    <mergeCell ref="C33:G33"/>
    <mergeCell ref="C41:G41"/>
    <mergeCell ref="C42:G42"/>
    <mergeCell ref="C28:G28"/>
    <mergeCell ref="C29:G29"/>
    <mergeCell ref="C30:G30"/>
    <mergeCell ref="C31:G31"/>
    <mergeCell ref="C49:G49"/>
    <mergeCell ref="C50:G50"/>
    <mergeCell ref="C45:G45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71:G71"/>
    <mergeCell ref="B72:H72"/>
    <mergeCell ref="C67:G67"/>
    <mergeCell ref="C68:G68"/>
    <mergeCell ref="C69:G69"/>
    <mergeCell ref="C70:G70"/>
  </mergeCells>
  <printOptions/>
  <pageMargins left="0.7086614173228347" right="0.7086614173228347" top="0.9448818897637796" bottom="0.7480314960629921" header="0.03937007874015748" footer="0.31496062992125984"/>
  <pageSetup horizontalDpi="600" verticalDpi="600" orientation="portrait" r:id="rId3"/>
  <headerFooter>
    <oddHeader>&amp;L&amp;G</oddHeader>
    <oddFooter>&amp;CPage &amp;P of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2014-03-28T18:30:42Z</cp:lastPrinted>
  <dcterms:created xsi:type="dcterms:W3CDTF">1998-12-07T19:56:09Z</dcterms:created>
  <dcterms:modified xsi:type="dcterms:W3CDTF">2014-03-28T18:30:49Z</dcterms:modified>
  <cp:category/>
  <cp:version/>
  <cp:contentType/>
  <cp:contentStatus/>
</cp:coreProperties>
</file>