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Costs'!$B$3:$V$65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<sst xmlns="http://schemas.openxmlformats.org/spreadsheetml/2006/main" count="134" uniqueCount="108">
  <si>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</si>
  <si>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</si>
  <si>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</si>
  <si>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</si>
  <si>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</si>
  <si>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</si>
  <si>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</si>
  <si>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</si>
  <si>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</si>
  <si>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</si>
  <si>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</si>
  <si>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</si>
  <si>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</si>
  <si>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</si>
  <si>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</si>
  <si>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</si>
  <si>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</si>
  <si>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</si>
  <si>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</si>
  <si>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</si>
  <si>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</si>
  <si>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</si>
  <si>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</si>
  <si>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</si>
  <si>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</si>
  <si>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</si>
  <si>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</si>
  <si>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</si>
  <si>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</si>
  <si>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</si>
  <si>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</si>
  <si>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</si>
  <si>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</si>
  <si>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</si>
  <si>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</si>
  <si>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</si>
  <si>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</si>
  <si>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</si>
  <si>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</si>
  <si>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</si>
  <si>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</si>
  <si>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</si>
  <si>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</si>
  <si>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</si>
  <si>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</si>
  <si>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</si>
  <si>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</si>
  <si>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</si>
  <si>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</si>
  <si>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</si>
  <si>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</si>
  <si>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</si>
  <si>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</si>
  <si>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</si>
  <si>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</si>
  <si>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</si>
  <si>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</si>
  <si>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</si>
  <si>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</si>
  <si>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</si>
  <si>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</si>
  <si>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</si>
  <si>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</si>
  <si>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</si>
  <si>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</si>
  <si>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</si>
  <si>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EA</t>
  </si>
  <si>
    <t>SNOW REMOVAL</t>
  </si>
  <si>
    <t>MDY</t>
  </si>
  <si>
    <t>Equipment Mob / Demob</t>
  </si>
  <si>
    <t>Transport from Dawson City to site (approx 110km one-way).</t>
  </si>
  <si>
    <t>Fuel Transportation</t>
  </si>
  <si>
    <t>27,000 liter tanker</t>
  </si>
  <si>
    <t>M3</t>
  </si>
  <si>
    <t>Round Trip</t>
  </si>
  <si>
    <t>Drill &amp; blast, screen &amp; sort, load &amp; haul to site, double handling and place.</t>
  </si>
  <si>
    <t>liters</t>
  </si>
  <si>
    <t>Subcontract Costs/Unit ($)</t>
  </si>
  <si>
    <t>Subcontract Total ($)</t>
  </si>
  <si>
    <t>n/a</t>
  </si>
  <si>
    <t xml:space="preserve"> *fuel included in all-in rates.</t>
  </si>
  <si>
    <t>Water Diversion</t>
  </si>
  <si>
    <t>Aquadam - supply &amp; install</t>
  </si>
  <si>
    <t>Trench 1.6m dp, BF 1m cover, supply &amp; install.</t>
  </si>
  <si>
    <t>LM</t>
  </si>
  <si>
    <t>HDPE pipe &amp; aquadam.</t>
  </si>
  <si>
    <t>6' x 100' lg.</t>
  </si>
  <si>
    <t>ROAD MAINTENANCE</t>
  </si>
  <si>
    <t>LD</t>
  </si>
  <si>
    <t>Channel Armouring</t>
  </si>
  <si>
    <t>Rip-rap - 500mm dia.</t>
  </si>
  <si>
    <t>Edmonton to Dawson City 2,519km. Dawson City to Site approx 110km. 1ea-345, 1ea-D8, 7ea-40ton rock truck.</t>
  </si>
  <si>
    <t>Edm to Dawson City charter flight + DC to Site by charter bus.  1 flight/man.</t>
  </si>
  <si>
    <t>Dawson City to Site - 15 passenger shuttle bus.</t>
  </si>
  <si>
    <t>610mm HDPE DR21 pipe</t>
  </si>
  <si>
    <t>Fuel truck &amp; driver</t>
  </si>
  <si>
    <t>RV rental, 2men per unit + per diem.. Aquadam &amp; HDPE, drill &amp; blast, crush, load &amp; haul, place gabions.</t>
  </si>
  <si>
    <t>Assessment and Abandoned Mines</t>
  </si>
  <si>
    <t>Clinton Creek Site LCCA - Replace 750 m of Riprap-Lined Channel (Clinton Option C3)</t>
  </si>
  <si>
    <t>Geotextile 10oz</t>
  </si>
  <si>
    <t>Under cobble layer.</t>
  </si>
  <si>
    <t>M2</t>
  </si>
  <si>
    <t>Asbestos Control</t>
  </si>
  <si>
    <t>Equipment washdown equip &amp; labour</t>
  </si>
  <si>
    <t>Assume existing building of 1ea - 80'x120' temprorary building , 300mm SOG. 1ea - 4.5 GPM pressure washers w/ 600Gal tanks, 2man hours / day.</t>
  </si>
  <si>
    <t>Equipment / vehicle heppa filters,</t>
  </si>
  <si>
    <t>LS</t>
  </si>
  <si>
    <t>PPE; respirators, overalls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</si>
</sst>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438150</xdr:colOff>
      <xdr:row>2</xdr:row>
      <xdr:rowOff>123825</xdr:rowOff>
    </xdr:from>
    <xdr:to>
      <xdr:col>21</xdr:col>
      <xdr:colOff>714375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11350" y="40957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12" sqref="E12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OPEX\[307071-00895-Clinton Creek LCCA-Replace 750 m Rip-rap-Lined Channel.xls]Summary</v>
      </c>
    </row>
    <row r="2" ht="11.25">
      <c r="E2" s="6"/>
    </row>
    <row r="3" spans="2:5" ht="12.75">
      <c r="B3" s="7" t="s">
        <v>59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Replace 750 m of Riprap-Lined Channel (Clinton Option C3)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Costs'!S35,-3)</f>
        <v>2263000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Costs'!S56,-3)</f>
        <v>367000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Costs'!S60,-3)</f>
        <v>263000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Costs'!S61,-3)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Costs'!S62,-3)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2893000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0.24991358451434498</v>
      </c>
      <c r="E24" s="34">
        <f>ROUND('Detail Costs'!U65,-3)</f>
        <v>723000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3616000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zoomScale="90" zoomScaleNormal="90" zoomScalePageLayoutView="0" workbookViewId="0" topLeftCell="A1">
      <selection activeCell="C70" sqref="A66:C70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3.832031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OPEX\[307071-00895-Clinton Creek LCCA-Replace 750 m Rip-rap-Lined Channel.xls]Detail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58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97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22.5">
      <c r="B6" s="16"/>
      <c r="C6" s="19" t="s">
        <v>8</v>
      </c>
      <c r="D6" s="76" t="s">
        <v>98</v>
      </c>
      <c r="E6" s="24" t="s">
        <v>25</v>
      </c>
      <c r="F6" s="54" t="s">
        <v>64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63</v>
      </c>
      <c r="E7" s="24" t="s">
        <v>10</v>
      </c>
      <c r="F7" s="54" t="s">
        <v>65</v>
      </c>
      <c r="G7" s="61"/>
      <c r="H7" s="10"/>
      <c r="K7" s="71"/>
      <c r="L7" s="72"/>
      <c r="M7" s="1" t="s">
        <v>61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78">
        <v>0</v>
      </c>
      <c r="G8" s="61"/>
      <c r="H8" s="10"/>
      <c r="K8" s="71"/>
      <c r="L8" s="73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77</v>
      </c>
      <c r="N10" s="22" t="s">
        <v>78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4">F14*H14</f>
        <v>0</v>
      </c>
      <c r="J14" s="13">
        <f aca="true" t="shared" si="1" ref="J14:J34">I14*$L$8</f>
        <v>0</v>
      </c>
      <c r="K14" s="13"/>
      <c r="L14" s="13">
        <f aca="true" t="shared" si="2" ref="L14:L34">F14*K14</f>
        <v>0</v>
      </c>
      <c r="M14" s="13"/>
      <c r="N14" s="13">
        <f aca="true" t="shared" si="3" ref="N14:N34">F14*M14</f>
        <v>0</v>
      </c>
      <c r="O14" s="13"/>
      <c r="P14" s="13">
        <f aca="true" t="shared" si="4" ref="P14:P34">F14*O14</f>
        <v>0</v>
      </c>
      <c r="Q14" s="38"/>
      <c r="R14" s="13">
        <f aca="true" t="shared" si="5" ref="R14:R34">(J14+L14+N14+P14)*Q14</f>
        <v>0</v>
      </c>
      <c r="S14" s="13">
        <f aca="true" t="shared" si="6" ref="S14:S34">J14+L14+N14+P14+R14</f>
        <v>0</v>
      </c>
      <c r="T14" s="38"/>
      <c r="U14" s="13">
        <f aca="true" t="shared" si="7" ref="U14:U34">S14*T14</f>
        <v>0</v>
      </c>
      <c r="V14" s="13">
        <f aca="true" t="shared" si="8" ref="V14:V34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69</v>
      </c>
      <c r="E15" s="74" t="s">
        <v>91</v>
      </c>
      <c r="F15" s="65">
        <v>9</v>
      </c>
      <c r="G15" s="57" t="s">
        <v>66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3">
        <f>(9361.68*2)</f>
        <v>18723.36</v>
      </c>
      <c r="N15" s="13">
        <f t="shared" si="3"/>
        <v>168510.24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168510.24</v>
      </c>
      <c r="T15" s="38">
        <v>0.25</v>
      </c>
      <c r="U15" s="13">
        <f t="shared" si="7"/>
        <v>42127.56</v>
      </c>
      <c r="V15" s="13">
        <f t="shared" si="8"/>
        <v>210637.8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5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58"/>
      <c r="Y16" s="3"/>
    </row>
    <row r="17" spans="1:25" s="4" customFormat="1" ht="11.25">
      <c r="A17" s="50">
        <v>1.04</v>
      </c>
      <c r="B17" s="3"/>
      <c r="C17" s="37"/>
      <c r="D17" s="59" t="s">
        <v>89</v>
      </c>
      <c r="E17" s="37"/>
      <c r="F17" s="65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13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58"/>
      <c r="Y17" s="3"/>
    </row>
    <row r="18" spans="1:25" s="4" customFormat="1" ht="33.75">
      <c r="A18" s="50">
        <v>1.05</v>
      </c>
      <c r="B18" s="3"/>
      <c r="C18" s="37"/>
      <c r="D18" s="56" t="s">
        <v>90</v>
      </c>
      <c r="E18" s="37" t="s">
        <v>75</v>
      </c>
      <c r="F18" s="65">
        <v>8500</v>
      </c>
      <c r="G18" s="57" t="s">
        <v>73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3">
        <f>10.04+64.41+39.93+5.51+10.17</f>
        <v>130.06</v>
      </c>
      <c r="N18" s="13">
        <f t="shared" si="3"/>
        <v>1105510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1105510</v>
      </c>
      <c r="T18" s="38">
        <v>0.25</v>
      </c>
      <c r="U18" s="13">
        <f t="shared" si="7"/>
        <v>276377.5</v>
      </c>
      <c r="V18" s="13">
        <f t="shared" si="8"/>
        <v>1381887.5</v>
      </c>
      <c r="W18" s="3"/>
      <c r="X18" s="58"/>
      <c r="Y18" s="3"/>
    </row>
    <row r="19" spans="1:25" s="4" customFormat="1" ht="11.25">
      <c r="A19" s="50">
        <v>1.06</v>
      </c>
      <c r="B19" s="3"/>
      <c r="C19" s="37"/>
      <c r="D19" s="56" t="s">
        <v>99</v>
      </c>
      <c r="E19" s="37" t="s">
        <v>100</v>
      </c>
      <c r="F19" s="65">
        <v>13500</v>
      </c>
      <c r="G19" s="57" t="s">
        <v>101</v>
      </c>
      <c r="H19" s="13"/>
      <c r="I19" s="13">
        <f t="shared" si="0"/>
        <v>0</v>
      </c>
      <c r="J19" s="13">
        <f t="shared" si="1"/>
        <v>0</v>
      </c>
      <c r="K19" s="13"/>
      <c r="L19" s="13">
        <f t="shared" si="2"/>
        <v>0</v>
      </c>
      <c r="M19" s="77">
        <v>3.62</v>
      </c>
      <c r="N19" s="13">
        <f t="shared" si="3"/>
        <v>48870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48870</v>
      </c>
      <c r="T19" s="38">
        <v>0.25</v>
      </c>
      <c r="U19" s="13">
        <f t="shared" si="7"/>
        <v>12217.5</v>
      </c>
      <c r="V19" s="13">
        <f t="shared" si="8"/>
        <v>61087.5</v>
      </c>
      <c r="W19" s="3"/>
      <c r="X19" s="58"/>
      <c r="Y19" s="3"/>
    </row>
    <row r="20" spans="1:25" s="4" customFormat="1" ht="11.25">
      <c r="A20" s="50">
        <v>1.07</v>
      </c>
      <c r="B20" s="3"/>
      <c r="C20" s="37"/>
      <c r="D20" s="56"/>
      <c r="E20" s="37"/>
      <c r="F20" s="65"/>
      <c r="G20" s="57"/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13"/>
      <c r="N20" s="13">
        <f t="shared" si="3"/>
        <v>0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0</v>
      </c>
      <c r="T20" s="38"/>
      <c r="U20" s="13">
        <f t="shared" si="7"/>
        <v>0</v>
      </c>
      <c r="V20" s="13">
        <f t="shared" si="8"/>
        <v>0</v>
      </c>
      <c r="W20" s="3"/>
      <c r="X20" s="58"/>
      <c r="Y20" s="3"/>
    </row>
    <row r="21" spans="1:25" s="4" customFormat="1" ht="11.25">
      <c r="A21" s="50">
        <v>1.08</v>
      </c>
      <c r="B21" s="3"/>
      <c r="C21" s="37"/>
      <c r="D21" s="59" t="s">
        <v>81</v>
      </c>
      <c r="E21" s="37"/>
      <c r="F21" s="65"/>
      <c r="G21" s="57"/>
      <c r="H21" s="13"/>
      <c r="I21" s="13">
        <f t="shared" si="0"/>
        <v>0</v>
      </c>
      <c r="J21" s="13">
        <f t="shared" si="1"/>
        <v>0</v>
      </c>
      <c r="K21" s="13"/>
      <c r="L21" s="13">
        <f t="shared" si="2"/>
        <v>0</v>
      </c>
      <c r="M21" s="13"/>
      <c r="N21" s="13">
        <f t="shared" si="3"/>
        <v>0</v>
      </c>
      <c r="O21" s="13"/>
      <c r="P21" s="13">
        <f t="shared" si="4"/>
        <v>0</v>
      </c>
      <c r="Q21" s="38"/>
      <c r="R21" s="13">
        <f t="shared" si="5"/>
        <v>0</v>
      </c>
      <c r="S21" s="13">
        <f t="shared" si="6"/>
        <v>0</v>
      </c>
      <c r="T21" s="38"/>
      <c r="U21" s="13">
        <f t="shared" si="7"/>
        <v>0</v>
      </c>
      <c r="V21" s="13">
        <f t="shared" si="8"/>
        <v>0</v>
      </c>
      <c r="W21" s="3"/>
      <c r="X21" s="58"/>
      <c r="Y21" s="3"/>
    </row>
    <row r="22" spans="1:25" s="4" customFormat="1" ht="11.25">
      <c r="A22" s="50">
        <v>1.09</v>
      </c>
      <c r="B22" s="3"/>
      <c r="C22" s="37"/>
      <c r="D22" s="56" t="s">
        <v>82</v>
      </c>
      <c r="E22" s="37" t="s">
        <v>86</v>
      </c>
      <c r="F22" s="65">
        <v>1</v>
      </c>
      <c r="G22" s="57" t="s">
        <v>66</v>
      </c>
      <c r="H22" s="13"/>
      <c r="I22" s="13">
        <f t="shared" si="0"/>
        <v>0</v>
      </c>
      <c r="J22" s="13">
        <f t="shared" si="1"/>
        <v>0</v>
      </c>
      <c r="K22" s="13"/>
      <c r="L22" s="13">
        <f t="shared" si="2"/>
        <v>0</v>
      </c>
      <c r="M22" s="63">
        <v>26000</v>
      </c>
      <c r="N22" s="13">
        <f t="shared" si="3"/>
        <v>26000</v>
      </c>
      <c r="O22" s="13"/>
      <c r="P22" s="13">
        <f t="shared" si="4"/>
        <v>0</v>
      </c>
      <c r="Q22" s="38"/>
      <c r="R22" s="13">
        <f t="shared" si="5"/>
        <v>0</v>
      </c>
      <c r="S22" s="13">
        <f t="shared" si="6"/>
        <v>26000</v>
      </c>
      <c r="T22" s="38">
        <v>0.25</v>
      </c>
      <c r="U22" s="13">
        <f t="shared" si="7"/>
        <v>6500</v>
      </c>
      <c r="V22" s="13">
        <f t="shared" si="8"/>
        <v>32500</v>
      </c>
      <c r="W22" s="3"/>
      <c r="X22" s="58"/>
      <c r="Y22" s="3"/>
    </row>
    <row r="23" spans="1:25" s="4" customFormat="1" ht="22.5">
      <c r="A23" s="50">
        <v>1.1</v>
      </c>
      <c r="B23" s="3"/>
      <c r="C23" s="37"/>
      <c r="D23" s="56" t="s">
        <v>94</v>
      </c>
      <c r="E23" s="37" t="s">
        <v>83</v>
      </c>
      <c r="F23" s="65">
        <v>900</v>
      </c>
      <c r="G23" s="57" t="s">
        <v>84</v>
      </c>
      <c r="H23" s="66"/>
      <c r="I23" s="13">
        <f t="shared" si="0"/>
        <v>0</v>
      </c>
      <c r="J23" s="13">
        <f t="shared" si="1"/>
        <v>0</v>
      </c>
      <c r="K23" s="66"/>
      <c r="L23" s="13">
        <f t="shared" si="2"/>
        <v>0</v>
      </c>
      <c r="M23" s="66">
        <f>(7.31*100)+204.27+(4.48*4.38)+25.18</f>
        <v>980.0723999999999</v>
      </c>
      <c r="N23" s="13">
        <f t="shared" si="3"/>
        <v>882065.1599999999</v>
      </c>
      <c r="O23" s="13"/>
      <c r="P23" s="13">
        <f t="shared" si="4"/>
        <v>0</v>
      </c>
      <c r="Q23" s="38"/>
      <c r="R23" s="13">
        <f t="shared" si="5"/>
        <v>0</v>
      </c>
      <c r="S23" s="13">
        <f t="shared" si="6"/>
        <v>882065.1599999999</v>
      </c>
      <c r="T23" s="38">
        <v>0.25</v>
      </c>
      <c r="U23" s="13">
        <f t="shared" si="7"/>
        <v>220516.28999999998</v>
      </c>
      <c r="V23" s="13">
        <f t="shared" si="8"/>
        <v>1102581.45</v>
      </c>
      <c r="W23" s="3"/>
      <c r="X23" s="58"/>
      <c r="Y23" s="3"/>
    </row>
    <row r="24" spans="1:25" s="4" customFormat="1" ht="11.25">
      <c r="A24" s="50">
        <v>1.11</v>
      </c>
      <c r="B24" s="3"/>
      <c r="C24" s="37"/>
      <c r="D24" s="56"/>
      <c r="E24" s="37"/>
      <c r="F24" s="65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77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58"/>
      <c r="Y24" s="3"/>
    </row>
    <row r="25" spans="1:25" s="4" customFormat="1" ht="11.25">
      <c r="A25" s="50">
        <v>1.12</v>
      </c>
      <c r="B25" s="3"/>
      <c r="C25" s="37"/>
      <c r="D25" s="59" t="s">
        <v>102</v>
      </c>
      <c r="E25" s="37"/>
      <c r="F25" s="65"/>
      <c r="G25" s="57"/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77"/>
      <c r="N25" s="13">
        <f t="shared" si="3"/>
        <v>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0</v>
      </c>
      <c r="T25" s="38"/>
      <c r="U25" s="13">
        <f t="shared" si="7"/>
        <v>0</v>
      </c>
      <c r="V25" s="13">
        <f t="shared" si="8"/>
        <v>0</v>
      </c>
      <c r="W25" s="3"/>
      <c r="X25" s="58"/>
      <c r="Y25" s="3"/>
    </row>
    <row r="26" spans="1:25" s="4" customFormat="1" ht="67.5">
      <c r="A26" s="50">
        <v>1.13</v>
      </c>
      <c r="B26" s="3"/>
      <c r="C26" s="37"/>
      <c r="D26" s="56" t="s">
        <v>103</v>
      </c>
      <c r="E26" s="37" t="s">
        <v>104</v>
      </c>
      <c r="F26" s="65">
        <v>1</v>
      </c>
      <c r="G26" s="57" t="s">
        <v>66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77">
        <f>19200+(20*30.4*0.5)+(2*30.4*0.5*100)</f>
        <v>22544</v>
      </c>
      <c r="N26" s="13">
        <f t="shared" si="3"/>
        <v>22544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22544</v>
      </c>
      <c r="T26" s="38">
        <v>0.25</v>
      </c>
      <c r="U26" s="13">
        <f t="shared" si="7"/>
        <v>5636</v>
      </c>
      <c r="V26" s="13">
        <f t="shared" si="8"/>
        <v>28180</v>
      </c>
      <c r="W26" s="3"/>
      <c r="X26" s="58"/>
      <c r="Y26" s="3"/>
    </row>
    <row r="27" spans="1:25" s="4" customFormat="1" ht="11.25">
      <c r="A27" s="50">
        <v>1.14</v>
      </c>
      <c r="B27" s="3"/>
      <c r="C27" s="37"/>
      <c r="D27" s="56" t="s">
        <v>105</v>
      </c>
      <c r="E27" s="37"/>
      <c r="F27" s="65">
        <v>1</v>
      </c>
      <c r="G27" s="57" t="s">
        <v>106</v>
      </c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77">
        <v>3000</v>
      </c>
      <c r="N27" s="13">
        <f t="shared" si="3"/>
        <v>3000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3000</v>
      </c>
      <c r="T27" s="38">
        <v>0.25</v>
      </c>
      <c r="U27" s="13">
        <f t="shared" si="7"/>
        <v>750</v>
      </c>
      <c r="V27" s="13">
        <f t="shared" si="8"/>
        <v>3750</v>
      </c>
      <c r="W27" s="3"/>
      <c r="X27" s="58"/>
      <c r="Y27" s="3"/>
    </row>
    <row r="28" spans="1:25" s="4" customFormat="1" ht="11.25">
      <c r="A28" s="50">
        <v>1.15</v>
      </c>
      <c r="B28" s="3"/>
      <c r="C28" s="37"/>
      <c r="D28" s="56" t="s">
        <v>107</v>
      </c>
      <c r="E28" s="37"/>
      <c r="F28" s="65">
        <v>20</v>
      </c>
      <c r="G28" s="57" t="s">
        <v>66</v>
      </c>
      <c r="H28" s="13"/>
      <c r="I28" s="13">
        <f t="shared" si="0"/>
        <v>0</v>
      </c>
      <c r="J28" s="13">
        <f t="shared" si="1"/>
        <v>0</v>
      </c>
      <c r="K28" s="13"/>
      <c r="L28" s="13">
        <f t="shared" si="2"/>
        <v>0</v>
      </c>
      <c r="M28" s="77">
        <v>300</v>
      </c>
      <c r="N28" s="13">
        <f t="shared" si="3"/>
        <v>6000</v>
      </c>
      <c r="O28" s="13"/>
      <c r="P28" s="13">
        <f t="shared" si="4"/>
        <v>0</v>
      </c>
      <c r="Q28" s="38"/>
      <c r="R28" s="13">
        <f t="shared" si="5"/>
        <v>0</v>
      </c>
      <c r="S28" s="13">
        <f t="shared" si="6"/>
        <v>6000</v>
      </c>
      <c r="T28" s="38">
        <v>0.25</v>
      </c>
      <c r="U28" s="13">
        <f t="shared" si="7"/>
        <v>1500</v>
      </c>
      <c r="V28" s="13">
        <f t="shared" si="8"/>
        <v>7500</v>
      </c>
      <c r="W28" s="3"/>
      <c r="X28" s="58"/>
      <c r="Y28" s="3"/>
    </row>
    <row r="29" spans="1:25" s="4" customFormat="1" ht="11.25">
      <c r="A29" s="50">
        <v>1.16</v>
      </c>
      <c r="B29" s="3"/>
      <c r="C29" s="37"/>
      <c r="D29" s="56"/>
      <c r="E29" s="37"/>
      <c r="F29" s="65"/>
      <c r="G29" s="57"/>
      <c r="H29" s="13"/>
      <c r="I29" s="13">
        <f t="shared" si="0"/>
        <v>0</v>
      </c>
      <c r="J29" s="13">
        <f t="shared" si="1"/>
        <v>0</v>
      </c>
      <c r="K29" s="13"/>
      <c r="L29" s="13">
        <f t="shared" si="2"/>
        <v>0</v>
      </c>
      <c r="M29" s="13"/>
      <c r="N29" s="13">
        <f t="shared" si="3"/>
        <v>0</v>
      </c>
      <c r="O29" s="13"/>
      <c r="P29" s="13">
        <f t="shared" si="4"/>
        <v>0</v>
      </c>
      <c r="Q29" s="38"/>
      <c r="R29" s="13">
        <f t="shared" si="5"/>
        <v>0</v>
      </c>
      <c r="S29" s="13">
        <f t="shared" si="6"/>
        <v>0</v>
      </c>
      <c r="T29" s="38"/>
      <c r="U29" s="13">
        <f t="shared" si="7"/>
        <v>0</v>
      </c>
      <c r="V29" s="13">
        <f t="shared" si="8"/>
        <v>0</v>
      </c>
      <c r="W29" s="3"/>
      <c r="X29" s="58"/>
      <c r="Y29" s="3"/>
    </row>
    <row r="30" spans="1:25" s="4" customFormat="1" ht="33.75">
      <c r="A30" s="50">
        <v>1.17</v>
      </c>
      <c r="B30" s="3"/>
      <c r="C30" s="37"/>
      <c r="D30" s="59" t="s">
        <v>71</v>
      </c>
      <c r="E30" s="37" t="s">
        <v>70</v>
      </c>
      <c r="F30" s="65"/>
      <c r="G30" s="57"/>
      <c r="H30" s="13"/>
      <c r="I30" s="13">
        <f t="shared" si="0"/>
        <v>0</v>
      </c>
      <c r="J30" s="13">
        <f t="shared" si="1"/>
        <v>0</v>
      </c>
      <c r="K30" s="13"/>
      <c r="L30" s="13">
        <f t="shared" si="2"/>
        <v>0</v>
      </c>
      <c r="M30" s="13"/>
      <c r="N30" s="13">
        <f t="shared" si="3"/>
        <v>0</v>
      </c>
      <c r="O30" s="13"/>
      <c r="P30" s="13">
        <f t="shared" si="4"/>
        <v>0</v>
      </c>
      <c r="Q30" s="38"/>
      <c r="R30" s="13">
        <f t="shared" si="5"/>
        <v>0</v>
      </c>
      <c r="S30" s="13">
        <f t="shared" si="6"/>
        <v>0</v>
      </c>
      <c r="T30" s="38"/>
      <c r="U30" s="13">
        <f t="shared" si="7"/>
        <v>0</v>
      </c>
      <c r="V30" s="13">
        <f t="shared" si="8"/>
        <v>0</v>
      </c>
      <c r="W30" s="3"/>
      <c r="X30" s="58"/>
      <c r="Y30" s="3"/>
    </row>
    <row r="31" spans="1:25" s="4" customFormat="1" ht="11.25">
      <c r="A31" s="50">
        <v>1.18</v>
      </c>
      <c r="B31" s="3"/>
      <c r="C31" s="37"/>
      <c r="D31" s="56" t="s">
        <v>95</v>
      </c>
      <c r="E31" s="37" t="s">
        <v>72</v>
      </c>
      <c r="F31" s="75">
        <v>1</v>
      </c>
      <c r="G31" s="57" t="s">
        <v>88</v>
      </c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66">
        <f>(71.4+100)*4</f>
        <v>685.6</v>
      </c>
      <c r="N31" s="13">
        <f t="shared" si="3"/>
        <v>685.6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685.6</v>
      </c>
      <c r="T31" s="38">
        <v>0.25</v>
      </c>
      <c r="U31" s="13">
        <f t="shared" si="7"/>
        <v>171.4</v>
      </c>
      <c r="V31" s="13">
        <f t="shared" si="8"/>
        <v>857</v>
      </c>
      <c r="W31" s="58"/>
      <c r="X31" s="58"/>
      <c r="Y31" s="3"/>
    </row>
    <row r="32" spans="1:25" s="4" customFormat="1" ht="11.25">
      <c r="A32" s="50">
        <v>1.19</v>
      </c>
      <c r="B32" s="3"/>
      <c r="C32" s="37"/>
      <c r="D32" s="68"/>
      <c r="E32" s="4" t="s">
        <v>80</v>
      </c>
      <c r="F32" s="64">
        <f>7500+134400+9600+177527</f>
        <v>329027</v>
      </c>
      <c r="G32" s="70" t="s">
        <v>76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13"/>
      <c r="N32" s="13">
        <f t="shared" si="3"/>
        <v>0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0</v>
      </c>
      <c r="T32" s="38"/>
      <c r="U32" s="13">
        <f t="shared" si="7"/>
        <v>0</v>
      </c>
      <c r="V32" s="13">
        <f t="shared" si="8"/>
        <v>0</v>
      </c>
      <c r="W32" s="3"/>
      <c r="X32" s="58"/>
      <c r="Y32" s="3"/>
    </row>
    <row r="33" spans="1:25" s="4" customFormat="1" ht="11.25">
      <c r="A33" s="50">
        <v>1.2</v>
      </c>
      <c r="B33" s="3"/>
      <c r="C33" s="37"/>
      <c r="D33" s="68"/>
      <c r="E33" s="37"/>
      <c r="F33" s="69"/>
      <c r="G33" s="70"/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13"/>
      <c r="N33" s="13">
        <f t="shared" si="3"/>
        <v>0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0</v>
      </c>
      <c r="T33" s="38"/>
      <c r="U33" s="13">
        <f t="shared" si="7"/>
        <v>0</v>
      </c>
      <c r="V33" s="13">
        <f t="shared" si="8"/>
        <v>0</v>
      </c>
      <c r="W33" s="3"/>
      <c r="X33" s="58"/>
      <c r="Y33" s="3"/>
    </row>
    <row r="34" spans="1:25" s="4" customFormat="1" ht="11.25">
      <c r="A34" s="50">
        <v>1.21</v>
      </c>
      <c r="B34" s="3"/>
      <c r="C34" s="37"/>
      <c r="D34" s="56"/>
      <c r="E34" s="37"/>
      <c r="F34" s="65"/>
      <c r="G34" s="57"/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13"/>
      <c r="N34" s="13">
        <f t="shared" si="3"/>
        <v>0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0</v>
      </c>
      <c r="T34" s="38"/>
      <c r="U34" s="13">
        <f t="shared" si="7"/>
        <v>0</v>
      </c>
      <c r="V34" s="13">
        <f t="shared" si="8"/>
        <v>0</v>
      </c>
      <c r="W34" s="3"/>
      <c r="X34" s="58"/>
      <c r="Y34" s="3"/>
    </row>
    <row r="35" spans="2:25" s="14" customFormat="1" ht="24.75" customHeight="1">
      <c r="B35" s="79" t="s">
        <v>37</v>
      </c>
      <c r="C35" s="79"/>
      <c r="D35" s="79"/>
      <c r="E35" s="79"/>
      <c r="F35" s="79"/>
      <c r="G35" s="79"/>
      <c r="H35" s="79"/>
      <c r="I35" s="36">
        <f>SUM(I14:I34)</f>
        <v>0</v>
      </c>
      <c r="J35" s="36">
        <f>SUM(J14:J34)</f>
        <v>0</v>
      </c>
      <c r="K35" s="48"/>
      <c r="L35" s="36">
        <f>SUM(L14:L34)</f>
        <v>0</v>
      </c>
      <c r="M35" s="48"/>
      <c r="N35" s="36">
        <f>SUM(N14:N34)</f>
        <v>2263185</v>
      </c>
      <c r="O35" s="48"/>
      <c r="P35" s="36">
        <f>SUM(P14:P34)</f>
        <v>0</v>
      </c>
      <c r="Q35" s="41">
        <f>R35/S35</f>
        <v>0</v>
      </c>
      <c r="R35" s="36">
        <f>SUM(R14:R34)</f>
        <v>0</v>
      </c>
      <c r="S35" s="36">
        <f>SUM(S14:S34)</f>
        <v>2263185</v>
      </c>
      <c r="T35" s="41">
        <f>U35/S35</f>
        <v>0.25</v>
      </c>
      <c r="U35" s="36">
        <f>SUM(U14:U34)</f>
        <v>565796.25</v>
      </c>
      <c r="V35" s="36">
        <f>SUM(V14:V34)</f>
        <v>2828981.25</v>
      </c>
      <c r="W35" s="4"/>
      <c r="X35" s="1"/>
      <c r="Y35" s="4"/>
    </row>
    <row r="36" spans="2:25" s="4" customFormat="1" ht="4.5" customHeight="1">
      <c r="B36" s="45"/>
      <c r="C36" s="45"/>
      <c r="D36" s="45"/>
      <c r="E36" s="45"/>
      <c r="F36" s="46"/>
      <c r="G36" s="62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7"/>
      <c r="U36" s="46"/>
      <c r="V36" s="46"/>
      <c r="W36" s="45"/>
      <c r="X36" s="60"/>
      <c r="Y36" s="45"/>
    </row>
    <row r="37" spans="2:25" s="4" customFormat="1" ht="11.25">
      <c r="B37" s="49" t="s">
        <v>45</v>
      </c>
      <c r="C37" s="45"/>
      <c r="D37" s="45"/>
      <c r="E37" s="45"/>
      <c r="F37" s="46"/>
      <c r="G37" s="62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7"/>
      <c r="U37" s="46"/>
      <c r="V37" s="46"/>
      <c r="W37" s="45"/>
      <c r="X37" s="60"/>
      <c r="Y37" s="45"/>
    </row>
    <row r="38" spans="2:25" s="4" customFormat="1" ht="4.5" customHeight="1">
      <c r="B38" s="45"/>
      <c r="C38" s="45"/>
      <c r="D38" s="45"/>
      <c r="E38" s="45"/>
      <c r="F38" s="46"/>
      <c r="G38" s="62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7"/>
      <c r="U38" s="46"/>
      <c r="V38" s="46"/>
      <c r="W38" s="45"/>
      <c r="X38" s="60"/>
      <c r="Y38" s="45"/>
    </row>
    <row r="39" spans="1:25" s="4" customFormat="1" ht="45">
      <c r="A39" s="50">
        <v>2.01</v>
      </c>
      <c r="B39" s="3"/>
      <c r="C39" s="3"/>
      <c r="D39" s="3" t="s">
        <v>60</v>
      </c>
      <c r="E39" s="3" t="s">
        <v>96</v>
      </c>
      <c r="F39" s="65">
        <f>(35+48+61+18+30)*8500/6100</f>
        <v>267.5409836065574</v>
      </c>
      <c r="G39" s="57" t="s">
        <v>68</v>
      </c>
      <c r="H39" s="13"/>
      <c r="I39" s="13">
        <f>F39*H39</f>
        <v>0</v>
      </c>
      <c r="J39" s="13">
        <f aca="true" t="shared" si="9" ref="J39:J55">I39*$L$8</f>
        <v>0</v>
      </c>
      <c r="K39" s="13"/>
      <c r="L39" s="13">
        <f>F39*K39</f>
        <v>0</v>
      </c>
      <c r="M39" s="66">
        <f>105+150</f>
        <v>255</v>
      </c>
      <c r="N39" s="13">
        <f>F39*M39</f>
        <v>68222.95081967214</v>
      </c>
      <c r="O39" s="13"/>
      <c r="P39" s="13">
        <f>F39*O39</f>
        <v>0</v>
      </c>
      <c r="Q39" s="38"/>
      <c r="R39" s="13">
        <f>(J39+L39+N39+P39)*Q39</f>
        <v>0</v>
      </c>
      <c r="S39" s="13">
        <f>J39+L39+N39+P39+R39</f>
        <v>68222.95081967214</v>
      </c>
      <c r="T39" s="38">
        <v>0.25</v>
      </c>
      <c r="U39" s="13">
        <f>S39*T39</f>
        <v>17055.737704918036</v>
      </c>
      <c r="V39" s="13">
        <f>S39+U39</f>
        <v>85278.68852459018</v>
      </c>
      <c r="W39" s="3"/>
      <c r="X39" s="58"/>
      <c r="Y39" s="3"/>
    </row>
    <row r="40" spans="1:25" s="4" customFormat="1" ht="22.5">
      <c r="A40" s="50">
        <v>2.02</v>
      </c>
      <c r="B40" s="3"/>
      <c r="C40" s="3"/>
      <c r="D40" s="37" t="s">
        <v>46</v>
      </c>
      <c r="E40" s="3"/>
      <c r="F40" s="67">
        <v>0.03</v>
      </c>
      <c r="G40" s="57"/>
      <c r="H40" s="13"/>
      <c r="I40" s="13">
        <f>F40*H40</f>
        <v>0</v>
      </c>
      <c r="J40" s="13">
        <f t="shared" si="9"/>
        <v>0</v>
      </c>
      <c r="K40" s="13"/>
      <c r="L40" s="13">
        <f>F40*K40</f>
        <v>0</v>
      </c>
      <c r="M40" s="63">
        <f>V35</f>
        <v>2828981.25</v>
      </c>
      <c r="N40" s="13">
        <f>F40*M40</f>
        <v>84869.4375</v>
      </c>
      <c r="O40" s="13"/>
      <c r="P40" s="13">
        <f>F40*O40</f>
        <v>0</v>
      </c>
      <c r="Q40" s="38"/>
      <c r="R40" s="13">
        <f>(J40+L40+N40+P40)*Q40</f>
        <v>0</v>
      </c>
      <c r="S40" s="13">
        <f>J40+L40+N40+P40+R40</f>
        <v>84869.4375</v>
      </c>
      <c r="T40" s="38">
        <v>0.25</v>
      </c>
      <c r="U40" s="13">
        <f>S40*T40</f>
        <v>21217.359375</v>
      </c>
      <c r="V40" s="13">
        <f>S40+U40</f>
        <v>106086.796875</v>
      </c>
      <c r="W40" s="3"/>
      <c r="X40" s="58"/>
      <c r="Y40" s="3"/>
    </row>
    <row r="41" spans="1:25" s="4" customFormat="1" ht="11.25">
      <c r="A41" s="50">
        <v>2.03</v>
      </c>
      <c r="B41" s="3"/>
      <c r="C41" s="3"/>
      <c r="D41" s="3" t="s">
        <v>67</v>
      </c>
      <c r="E41" s="3" t="s">
        <v>79</v>
      </c>
      <c r="F41" s="65"/>
      <c r="G41" s="57"/>
      <c r="H41" s="13"/>
      <c r="I41" s="13">
        <f aca="true" t="shared" si="10" ref="I41:I55">F41*H41</f>
        <v>0</v>
      </c>
      <c r="J41" s="13">
        <f t="shared" si="9"/>
        <v>0</v>
      </c>
      <c r="K41" s="13"/>
      <c r="L41" s="13">
        <f aca="true" t="shared" si="11" ref="L41:L55">F41*K41</f>
        <v>0</v>
      </c>
      <c r="M41" s="66"/>
      <c r="N41" s="13">
        <f aca="true" t="shared" si="12" ref="N41:N55">F41*M41</f>
        <v>0</v>
      </c>
      <c r="O41" s="13"/>
      <c r="P41" s="13">
        <f aca="true" t="shared" si="13" ref="P41:P55">F41*O41</f>
        <v>0</v>
      </c>
      <c r="Q41" s="38"/>
      <c r="R41" s="13">
        <f aca="true" t="shared" si="14" ref="R41:R55">(J41+L41+N41+P41)*Q41</f>
        <v>0</v>
      </c>
      <c r="S41" s="13">
        <f aca="true" t="shared" si="15" ref="S41:S55">J41+L41+N41+P41+R41</f>
        <v>0</v>
      </c>
      <c r="T41" s="38"/>
      <c r="U41" s="13">
        <f aca="true" t="shared" si="16" ref="U41:U55">S41*T41</f>
        <v>0</v>
      </c>
      <c r="V41" s="13">
        <f aca="true" t="shared" si="17" ref="V41:V55">S41+U41</f>
        <v>0</v>
      </c>
      <c r="W41" s="3"/>
      <c r="X41" s="58"/>
      <c r="Y41" s="3"/>
    </row>
    <row r="42" spans="1:25" s="4" customFormat="1" ht="11.25">
      <c r="A42" s="50">
        <v>2.04</v>
      </c>
      <c r="B42" s="3"/>
      <c r="C42" s="3"/>
      <c r="D42" s="3" t="s">
        <v>87</v>
      </c>
      <c r="E42" s="3" t="s">
        <v>79</v>
      </c>
      <c r="F42" s="65"/>
      <c r="G42" s="57"/>
      <c r="H42" s="13"/>
      <c r="I42" s="13">
        <f t="shared" si="10"/>
        <v>0</v>
      </c>
      <c r="J42" s="13">
        <f t="shared" si="9"/>
        <v>0</v>
      </c>
      <c r="K42" s="13"/>
      <c r="L42" s="13">
        <f t="shared" si="11"/>
        <v>0</v>
      </c>
      <c r="M42" s="66"/>
      <c r="N42" s="13">
        <f t="shared" si="12"/>
        <v>0</v>
      </c>
      <c r="O42" s="13"/>
      <c r="P42" s="13">
        <f t="shared" si="13"/>
        <v>0</v>
      </c>
      <c r="Q42" s="38"/>
      <c r="R42" s="13">
        <f t="shared" si="14"/>
        <v>0</v>
      </c>
      <c r="S42" s="13">
        <f t="shared" si="15"/>
        <v>0</v>
      </c>
      <c r="T42" s="38"/>
      <c r="U42" s="13">
        <f t="shared" si="16"/>
        <v>0</v>
      </c>
      <c r="V42" s="13">
        <f t="shared" si="17"/>
        <v>0</v>
      </c>
      <c r="W42" s="3"/>
      <c r="X42" s="58"/>
      <c r="Y42" s="3"/>
    </row>
    <row r="43" spans="1:25" s="4" customFormat="1" ht="22.5">
      <c r="A43" s="50">
        <v>2.05</v>
      </c>
      <c r="B43" s="3"/>
      <c r="C43" s="3"/>
      <c r="D43" s="3" t="s">
        <v>47</v>
      </c>
      <c r="E43" s="3" t="s">
        <v>79</v>
      </c>
      <c r="F43" s="65"/>
      <c r="G43" s="2"/>
      <c r="H43" s="13"/>
      <c r="I43" s="13">
        <f t="shared" si="10"/>
        <v>0</v>
      </c>
      <c r="J43" s="13">
        <f t="shared" si="9"/>
        <v>0</v>
      </c>
      <c r="K43" s="13"/>
      <c r="L43" s="13">
        <f t="shared" si="11"/>
        <v>0</v>
      </c>
      <c r="M43" s="13"/>
      <c r="N43" s="13">
        <f t="shared" si="12"/>
        <v>0</v>
      </c>
      <c r="O43" s="13"/>
      <c r="P43" s="13">
        <f t="shared" si="13"/>
        <v>0</v>
      </c>
      <c r="Q43" s="38"/>
      <c r="R43" s="13">
        <f t="shared" si="14"/>
        <v>0</v>
      </c>
      <c r="S43" s="13">
        <f t="shared" si="15"/>
        <v>0</v>
      </c>
      <c r="T43" s="38"/>
      <c r="U43" s="13">
        <f t="shared" si="16"/>
        <v>0</v>
      </c>
      <c r="V43" s="13">
        <f t="shared" si="17"/>
        <v>0</v>
      </c>
      <c r="W43" s="3"/>
      <c r="X43" s="58"/>
      <c r="Y43" s="3"/>
    </row>
    <row r="44" spans="1:25" s="4" customFormat="1" ht="11.25">
      <c r="A44" s="50">
        <v>2.06</v>
      </c>
      <c r="B44" s="3"/>
      <c r="C44" s="3"/>
      <c r="D44" s="3" t="s">
        <v>48</v>
      </c>
      <c r="E44" s="3" t="s">
        <v>79</v>
      </c>
      <c r="F44" s="65"/>
      <c r="G44" s="2"/>
      <c r="H44" s="13"/>
      <c r="I44" s="13">
        <f t="shared" si="10"/>
        <v>0</v>
      </c>
      <c r="J44" s="13">
        <f t="shared" si="9"/>
        <v>0</v>
      </c>
      <c r="K44" s="13"/>
      <c r="L44" s="13">
        <f t="shared" si="11"/>
        <v>0</v>
      </c>
      <c r="M44" s="13"/>
      <c r="N44" s="13">
        <f t="shared" si="12"/>
        <v>0</v>
      </c>
      <c r="O44" s="13"/>
      <c r="P44" s="13">
        <f t="shared" si="13"/>
        <v>0</v>
      </c>
      <c r="Q44" s="38"/>
      <c r="R44" s="13">
        <f t="shared" si="14"/>
        <v>0</v>
      </c>
      <c r="S44" s="13">
        <f t="shared" si="15"/>
        <v>0</v>
      </c>
      <c r="T44" s="38"/>
      <c r="U44" s="13">
        <f t="shared" si="16"/>
        <v>0</v>
      </c>
      <c r="V44" s="13">
        <f t="shared" si="17"/>
        <v>0</v>
      </c>
      <c r="W44" s="3"/>
      <c r="X44" s="58"/>
      <c r="Y44" s="3"/>
    </row>
    <row r="45" spans="1:25" s="4" customFormat="1" ht="11.25">
      <c r="A45" s="50">
        <v>2.07</v>
      </c>
      <c r="B45" s="3"/>
      <c r="C45" s="3"/>
      <c r="D45" s="3" t="s">
        <v>49</v>
      </c>
      <c r="E45" s="3" t="s">
        <v>79</v>
      </c>
      <c r="F45" s="65"/>
      <c r="G45" s="2"/>
      <c r="H45" s="13"/>
      <c r="I45" s="13">
        <f t="shared" si="10"/>
        <v>0</v>
      </c>
      <c r="J45" s="13">
        <f t="shared" si="9"/>
        <v>0</v>
      </c>
      <c r="K45" s="13"/>
      <c r="L45" s="13">
        <f t="shared" si="11"/>
        <v>0</v>
      </c>
      <c r="M45" s="13"/>
      <c r="N45" s="13">
        <f t="shared" si="12"/>
        <v>0</v>
      </c>
      <c r="O45" s="13"/>
      <c r="P45" s="13">
        <f t="shared" si="13"/>
        <v>0</v>
      </c>
      <c r="Q45" s="38"/>
      <c r="R45" s="13">
        <f t="shared" si="14"/>
        <v>0</v>
      </c>
      <c r="S45" s="13">
        <f t="shared" si="15"/>
        <v>0</v>
      </c>
      <c r="T45" s="38"/>
      <c r="U45" s="13">
        <f t="shared" si="16"/>
        <v>0</v>
      </c>
      <c r="V45" s="13">
        <f t="shared" si="17"/>
        <v>0</v>
      </c>
      <c r="W45" s="3"/>
      <c r="X45" s="58"/>
      <c r="Y45" s="3"/>
    </row>
    <row r="46" spans="1:25" s="4" customFormat="1" ht="49.5" customHeight="1">
      <c r="A46" s="50">
        <v>2.08</v>
      </c>
      <c r="B46" s="3"/>
      <c r="C46" s="3"/>
      <c r="D46" s="3" t="s">
        <v>50</v>
      </c>
      <c r="E46" s="3" t="s">
        <v>92</v>
      </c>
      <c r="F46" s="65">
        <f>(5+3+3+8+2)*8500/6100</f>
        <v>29.262295081967213</v>
      </c>
      <c r="G46" s="57" t="s">
        <v>74</v>
      </c>
      <c r="H46" s="13"/>
      <c r="I46" s="13">
        <f t="shared" si="10"/>
        <v>0</v>
      </c>
      <c r="J46" s="13">
        <f t="shared" si="9"/>
        <v>0</v>
      </c>
      <c r="K46" s="13"/>
      <c r="L46" s="13">
        <f t="shared" si="11"/>
        <v>0</v>
      </c>
      <c r="M46" s="63">
        <f>984+(2*80)</f>
        <v>1144</v>
      </c>
      <c r="N46" s="13">
        <f t="shared" si="12"/>
        <v>33476.065573770495</v>
      </c>
      <c r="O46" s="13"/>
      <c r="P46" s="13">
        <f t="shared" si="13"/>
        <v>0</v>
      </c>
      <c r="Q46" s="38"/>
      <c r="R46" s="13">
        <f t="shared" si="14"/>
        <v>0</v>
      </c>
      <c r="S46" s="13">
        <f t="shared" si="15"/>
        <v>33476.065573770495</v>
      </c>
      <c r="T46" s="38">
        <v>0.25</v>
      </c>
      <c r="U46" s="13">
        <f t="shared" si="16"/>
        <v>8369.016393442624</v>
      </c>
      <c r="V46" s="13">
        <f t="shared" si="17"/>
        <v>41845.08196721312</v>
      </c>
      <c r="W46" s="3"/>
      <c r="X46" s="58"/>
      <c r="Y46" s="3"/>
    </row>
    <row r="47" spans="1:25" s="4" customFormat="1" ht="22.5">
      <c r="A47" s="50">
        <v>2.09</v>
      </c>
      <c r="B47" s="3"/>
      <c r="C47" s="3"/>
      <c r="D47" s="3" t="s">
        <v>50</v>
      </c>
      <c r="E47" s="3" t="s">
        <v>93</v>
      </c>
      <c r="F47" s="65">
        <f>48*8500/6100</f>
        <v>66.88524590163935</v>
      </c>
      <c r="G47" s="57" t="s">
        <v>74</v>
      </c>
      <c r="H47" s="13"/>
      <c r="I47" s="13">
        <f t="shared" si="10"/>
        <v>0</v>
      </c>
      <c r="J47" s="13">
        <f>I47*$L$8</f>
        <v>0</v>
      </c>
      <c r="K47" s="13"/>
      <c r="L47" s="13">
        <f t="shared" si="11"/>
        <v>0</v>
      </c>
      <c r="M47" s="63">
        <f>1011.6</f>
        <v>1011.6</v>
      </c>
      <c r="N47" s="13">
        <f t="shared" si="12"/>
        <v>67661.11475409837</v>
      </c>
      <c r="O47" s="13"/>
      <c r="P47" s="13">
        <f t="shared" si="13"/>
        <v>0</v>
      </c>
      <c r="Q47" s="38"/>
      <c r="R47" s="13">
        <f t="shared" si="14"/>
        <v>0</v>
      </c>
      <c r="S47" s="13">
        <f t="shared" si="15"/>
        <v>67661.11475409837</v>
      </c>
      <c r="T47" s="38">
        <v>0.25</v>
      </c>
      <c r="U47" s="13">
        <f t="shared" si="16"/>
        <v>16915.27868852459</v>
      </c>
      <c r="V47" s="13">
        <f t="shared" si="17"/>
        <v>84576.39344262295</v>
      </c>
      <c r="W47" s="3"/>
      <c r="X47" s="58"/>
      <c r="Y47" s="3"/>
    </row>
    <row r="48" spans="1:25" s="4" customFormat="1" ht="11.25">
      <c r="A48" s="50">
        <v>2.1</v>
      </c>
      <c r="B48" s="3"/>
      <c r="C48" s="3"/>
      <c r="D48" s="3" t="s">
        <v>51</v>
      </c>
      <c r="E48" s="3" t="s">
        <v>79</v>
      </c>
      <c r="F48" s="65"/>
      <c r="G48" s="2"/>
      <c r="H48" s="13"/>
      <c r="I48" s="13">
        <f t="shared" si="10"/>
        <v>0</v>
      </c>
      <c r="J48" s="13">
        <f t="shared" si="9"/>
        <v>0</v>
      </c>
      <c r="K48" s="13"/>
      <c r="L48" s="13">
        <f t="shared" si="11"/>
        <v>0</v>
      </c>
      <c r="M48" s="13"/>
      <c r="N48" s="13">
        <f t="shared" si="12"/>
        <v>0</v>
      </c>
      <c r="O48" s="13"/>
      <c r="P48" s="13">
        <f t="shared" si="13"/>
        <v>0</v>
      </c>
      <c r="Q48" s="38"/>
      <c r="R48" s="13">
        <f t="shared" si="14"/>
        <v>0</v>
      </c>
      <c r="S48" s="13">
        <f t="shared" si="15"/>
        <v>0</v>
      </c>
      <c r="T48" s="38"/>
      <c r="U48" s="13">
        <f t="shared" si="16"/>
        <v>0</v>
      </c>
      <c r="V48" s="13">
        <f t="shared" si="17"/>
        <v>0</v>
      </c>
      <c r="W48" s="3"/>
      <c r="X48" s="58"/>
      <c r="Y48" s="3"/>
    </row>
    <row r="49" spans="1:25" s="4" customFormat="1" ht="11.25">
      <c r="A49" s="50">
        <v>2.11</v>
      </c>
      <c r="B49" s="3"/>
      <c r="C49" s="3"/>
      <c r="D49" s="3" t="s">
        <v>52</v>
      </c>
      <c r="E49" s="3" t="s">
        <v>85</v>
      </c>
      <c r="F49" s="65">
        <v>6</v>
      </c>
      <c r="G49" s="57" t="s">
        <v>88</v>
      </c>
      <c r="H49" s="13"/>
      <c r="I49" s="13">
        <f t="shared" si="10"/>
        <v>0</v>
      </c>
      <c r="J49" s="13">
        <f t="shared" si="9"/>
        <v>0</v>
      </c>
      <c r="K49" s="13"/>
      <c r="L49" s="13">
        <f t="shared" si="11"/>
        <v>0</v>
      </c>
      <c r="M49" s="63">
        <v>9361.68</v>
      </c>
      <c r="N49" s="13">
        <f t="shared" si="12"/>
        <v>56170.08</v>
      </c>
      <c r="O49" s="13"/>
      <c r="P49" s="13">
        <f t="shared" si="13"/>
        <v>0</v>
      </c>
      <c r="Q49" s="38"/>
      <c r="R49" s="13">
        <f t="shared" si="14"/>
        <v>0</v>
      </c>
      <c r="S49" s="13">
        <f t="shared" si="15"/>
        <v>56170.08</v>
      </c>
      <c r="T49" s="38">
        <v>0.25</v>
      </c>
      <c r="U49" s="13">
        <f t="shared" si="16"/>
        <v>14042.52</v>
      </c>
      <c r="V49" s="13">
        <f t="shared" si="17"/>
        <v>70212.6</v>
      </c>
      <c r="W49" s="3"/>
      <c r="X49" s="58"/>
      <c r="Y49" s="3"/>
    </row>
    <row r="50" spans="1:25" s="4" customFormat="1" ht="11.25">
      <c r="A50" s="50">
        <v>2.12</v>
      </c>
      <c r="B50" s="3"/>
      <c r="C50" s="3"/>
      <c r="D50" s="3" t="s">
        <v>53</v>
      </c>
      <c r="E50" s="3" t="s">
        <v>79</v>
      </c>
      <c r="F50" s="65"/>
      <c r="G50" s="2"/>
      <c r="H50" s="13"/>
      <c r="I50" s="13">
        <f t="shared" si="10"/>
        <v>0</v>
      </c>
      <c r="J50" s="13">
        <f t="shared" si="9"/>
        <v>0</v>
      </c>
      <c r="K50" s="13"/>
      <c r="L50" s="13">
        <f t="shared" si="11"/>
        <v>0</v>
      </c>
      <c r="M50" s="13"/>
      <c r="N50" s="13">
        <f t="shared" si="12"/>
        <v>0</v>
      </c>
      <c r="O50" s="13"/>
      <c r="P50" s="13">
        <f t="shared" si="13"/>
        <v>0</v>
      </c>
      <c r="Q50" s="38"/>
      <c r="R50" s="13">
        <f t="shared" si="14"/>
        <v>0</v>
      </c>
      <c r="S50" s="13">
        <f t="shared" si="15"/>
        <v>0</v>
      </c>
      <c r="T50" s="38"/>
      <c r="U50" s="13">
        <f t="shared" si="16"/>
        <v>0</v>
      </c>
      <c r="V50" s="13">
        <f t="shared" si="17"/>
        <v>0</v>
      </c>
      <c r="W50" s="3"/>
      <c r="X50" s="58"/>
      <c r="Y50" s="3"/>
    </row>
    <row r="51" spans="1:25" s="4" customFormat="1" ht="11.25">
      <c r="A51" s="50">
        <v>2.13</v>
      </c>
      <c r="B51" s="3"/>
      <c r="C51" s="3"/>
      <c r="D51" s="3" t="s">
        <v>54</v>
      </c>
      <c r="E51" s="3" t="s">
        <v>79</v>
      </c>
      <c r="F51" s="65"/>
      <c r="G51" s="2"/>
      <c r="H51" s="13"/>
      <c r="I51" s="13">
        <f t="shared" si="10"/>
        <v>0</v>
      </c>
      <c r="J51" s="13">
        <f t="shared" si="9"/>
        <v>0</v>
      </c>
      <c r="K51" s="13"/>
      <c r="L51" s="13">
        <f t="shared" si="11"/>
        <v>0</v>
      </c>
      <c r="M51" s="13"/>
      <c r="N51" s="13">
        <f t="shared" si="12"/>
        <v>0</v>
      </c>
      <c r="O51" s="13"/>
      <c r="P51" s="13">
        <f t="shared" si="13"/>
        <v>0</v>
      </c>
      <c r="Q51" s="38"/>
      <c r="R51" s="13">
        <f t="shared" si="14"/>
        <v>0</v>
      </c>
      <c r="S51" s="13">
        <f t="shared" si="15"/>
        <v>0</v>
      </c>
      <c r="T51" s="38"/>
      <c r="U51" s="13">
        <f t="shared" si="16"/>
        <v>0</v>
      </c>
      <c r="V51" s="13">
        <f t="shared" si="17"/>
        <v>0</v>
      </c>
      <c r="W51" s="3"/>
      <c r="X51" s="58"/>
      <c r="Y51" s="3"/>
    </row>
    <row r="52" spans="1:25" s="4" customFormat="1" ht="22.5">
      <c r="A52" s="50">
        <v>2.14</v>
      </c>
      <c r="B52" s="3"/>
      <c r="C52" s="3"/>
      <c r="D52" s="3" t="s">
        <v>55</v>
      </c>
      <c r="E52" s="3" t="s">
        <v>79</v>
      </c>
      <c r="F52" s="65"/>
      <c r="G52" s="2"/>
      <c r="H52" s="13"/>
      <c r="I52" s="13">
        <f t="shared" si="10"/>
        <v>0</v>
      </c>
      <c r="J52" s="13">
        <f t="shared" si="9"/>
        <v>0</v>
      </c>
      <c r="K52" s="13"/>
      <c r="L52" s="13">
        <f t="shared" si="11"/>
        <v>0</v>
      </c>
      <c r="M52" s="13"/>
      <c r="N52" s="13">
        <f t="shared" si="12"/>
        <v>0</v>
      </c>
      <c r="O52" s="13"/>
      <c r="P52" s="13">
        <f t="shared" si="13"/>
        <v>0</v>
      </c>
      <c r="Q52" s="38"/>
      <c r="R52" s="13">
        <f t="shared" si="14"/>
        <v>0</v>
      </c>
      <c r="S52" s="13">
        <f t="shared" si="15"/>
        <v>0</v>
      </c>
      <c r="T52" s="38"/>
      <c r="U52" s="13">
        <f t="shared" si="16"/>
        <v>0</v>
      </c>
      <c r="V52" s="13">
        <f t="shared" si="17"/>
        <v>0</v>
      </c>
      <c r="W52" s="3"/>
      <c r="X52" s="58"/>
      <c r="Y52" s="3"/>
    </row>
    <row r="53" spans="1:25" s="4" customFormat="1" ht="22.5">
      <c r="A53" s="50">
        <v>2.15</v>
      </c>
      <c r="B53" s="3"/>
      <c r="C53" s="3"/>
      <c r="D53" s="3" t="s">
        <v>62</v>
      </c>
      <c r="E53" s="3"/>
      <c r="F53" s="67">
        <v>0.02</v>
      </c>
      <c r="G53" s="57"/>
      <c r="H53" s="13"/>
      <c r="I53" s="13">
        <f t="shared" si="10"/>
        <v>0</v>
      </c>
      <c r="J53" s="13">
        <f t="shared" si="9"/>
        <v>0</v>
      </c>
      <c r="K53" s="13"/>
      <c r="L53" s="13">
        <f t="shared" si="11"/>
        <v>0</v>
      </c>
      <c r="M53" s="63">
        <f>V35</f>
        <v>2828981.25</v>
      </c>
      <c r="N53" s="13">
        <f t="shared" si="12"/>
        <v>56579.625</v>
      </c>
      <c r="O53" s="13"/>
      <c r="P53" s="13">
        <f t="shared" si="13"/>
        <v>0</v>
      </c>
      <c r="Q53" s="38"/>
      <c r="R53" s="13">
        <f t="shared" si="14"/>
        <v>0</v>
      </c>
      <c r="S53" s="13">
        <f t="shared" si="15"/>
        <v>56579.625</v>
      </c>
      <c r="T53" s="38">
        <v>0.25</v>
      </c>
      <c r="U53" s="13">
        <f t="shared" si="16"/>
        <v>14144.90625</v>
      </c>
      <c r="V53" s="13">
        <f t="shared" si="17"/>
        <v>70724.53125</v>
      </c>
      <c r="W53" s="3"/>
      <c r="X53" s="58"/>
      <c r="Y53" s="3"/>
    </row>
    <row r="54" spans="1:25" s="4" customFormat="1" ht="11.25">
      <c r="A54" s="50">
        <v>2.16</v>
      </c>
      <c r="B54" s="3"/>
      <c r="C54" s="3"/>
      <c r="D54" s="3" t="s">
        <v>56</v>
      </c>
      <c r="E54" s="3" t="s">
        <v>79</v>
      </c>
      <c r="F54" s="65"/>
      <c r="G54" s="2"/>
      <c r="H54" s="13"/>
      <c r="I54" s="13">
        <f t="shared" si="10"/>
        <v>0</v>
      </c>
      <c r="J54" s="13">
        <f t="shared" si="9"/>
        <v>0</v>
      </c>
      <c r="K54" s="13"/>
      <c r="L54" s="13">
        <f t="shared" si="11"/>
        <v>0</v>
      </c>
      <c r="M54" s="13"/>
      <c r="N54" s="13">
        <f t="shared" si="12"/>
        <v>0</v>
      </c>
      <c r="O54" s="13"/>
      <c r="P54" s="13">
        <f t="shared" si="13"/>
        <v>0</v>
      </c>
      <c r="Q54" s="38"/>
      <c r="R54" s="13">
        <f t="shared" si="14"/>
        <v>0</v>
      </c>
      <c r="S54" s="13">
        <f t="shared" si="15"/>
        <v>0</v>
      </c>
      <c r="T54" s="38"/>
      <c r="U54" s="13">
        <f t="shared" si="16"/>
        <v>0</v>
      </c>
      <c r="V54" s="13">
        <f t="shared" si="17"/>
        <v>0</v>
      </c>
      <c r="W54" s="3"/>
      <c r="X54" s="58"/>
      <c r="Y54" s="3"/>
    </row>
    <row r="55" spans="1:25" s="4" customFormat="1" ht="11.25">
      <c r="A55" s="50">
        <v>2.17</v>
      </c>
      <c r="B55" s="3"/>
      <c r="C55" s="3"/>
      <c r="D55" s="3" t="s">
        <v>57</v>
      </c>
      <c r="E55" s="3" t="s">
        <v>79</v>
      </c>
      <c r="F55" s="65"/>
      <c r="G55" s="2"/>
      <c r="H55" s="13"/>
      <c r="I55" s="13">
        <f t="shared" si="10"/>
        <v>0</v>
      </c>
      <c r="J55" s="13">
        <f t="shared" si="9"/>
        <v>0</v>
      </c>
      <c r="K55" s="13"/>
      <c r="L55" s="13">
        <f t="shared" si="11"/>
        <v>0</v>
      </c>
      <c r="M55" s="13"/>
      <c r="N55" s="13">
        <f t="shared" si="12"/>
        <v>0</v>
      </c>
      <c r="O55" s="13"/>
      <c r="P55" s="13">
        <f t="shared" si="13"/>
        <v>0</v>
      </c>
      <c r="Q55" s="38"/>
      <c r="R55" s="13">
        <f t="shared" si="14"/>
        <v>0</v>
      </c>
      <c r="S55" s="13">
        <f t="shared" si="15"/>
        <v>0</v>
      </c>
      <c r="T55" s="38"/>
      <c r="U55" s="13">
        <f t="shared" si="16"/>
        <v>0</v>
      </c>
      <c r="V55" s="13">
        <f t="shared" si="17"/>
        <v>0</v>
      </c>
      <c r="W55" s="3"/>
      <c r="X55" s="58"/>
      <c r="Y55" s="3"/>
    </row>
    <row r="56" spans="2:25" s="14" customFormat="1" ht="24.75" customHeight="1">
      <c r="B56" s="80" t="s">
        <v>39</v>
      </c>
      <c r="C56" s="81"/>
      <c r="D56" s="81"/>
      <c r="E56" s="81"/>
      <c r="F56" s="81"/>
      <c r="G56" s="81"/>
      <c r="H56" s="82"/>
      <c r="I56" s="36">
        <f>SUM(I39:I55)</f>
        <v>0</v>
      </c>
      <c r="J56" s="36">
        <f>SUM(J39:J55)</f>
        <v>0</v>
      </c>
      <c r="K56" s="35"/>
      <c r="L56" s="36">
        <f>SUM(L39:L55)</f>
        <v>0</v>
      </c>
      <c r="M56" s="35"/>
      <c r="N56" s="36">
        <f>SUM(N39:N55)</f>
        <v>366979.273647541</v>
      </c>
      <c r="O56" s="35"/>
      <c r="P56" s="36">
        <f>SUM(P39:P55)</f>
        <v>0</v>
      </c>
      <c r="Q56" s="41">
        <f>R56/S56</f>
        <v>0</v>
      </c>
      <c r="R56" s="36">
        <f>SUM(R39:R55)</f>
        <v>0</v>
      </c>
      <c r="S56" s="36">
        <f>SUM(S39:S55)</f>
        <v>366979.273647541</v>
      </c>
      <c r="T56" s="41">
        <f>U56/S56</f>
        <v>0.25</v>
      </c>
      <c r="U56" s="36">
        <f>SUM(U39:U55)</f>
        <v>91744.81841188525</v>
      </c>
      <c r="V56" s="36">
        <f>SUM(V39:V55)</f>
        <v>458724.09205942624</v>
      </c>
      <c r="W56" s="4"/>
      <c r="X56" s="1"/>
      <c r="Y56" s="4"/>
    </row>
    <row r="57" spans="2:25" s="4" customFormat="1" ht="4.5" customHeight="1">
      <c r="B57" s="45"/>
      <c r="C57" s="45"/>
      <c r="D57" s="45"/>
      <c r="E57" s="45"/>
      <c r="F57" s="46"/>
      <c r="G57" s="62"/>
      <c r="H57" s="46"/>
      <c r="I57" s="46"/>
      <c r="J57" s="46"/>
      <c r="K57" s="46"/>
      <c r="L57" s="46"/>
      <c r="M57" s="46"/>
      <c r="N57" s="46"/>
      <c r="O57" s="46"/>
      <c r="P57" s="46"/>
      <c r="Q57" s="47"/>
      <c r="R57" s="46"/>
      <c r="S57" s="46"/>
      <c r="T57" s="47"/>
      <c r="U57" s="46"/>
      <c r="V57" s="46"/>
      <c r="W57" s="45"/>
      <c r="X57" s="60"/>
      <c r="Y57" s="45"/>
    </row>
    <row r="58" spans="2:25" s="4" customFormat="1" ht="11.25">
      <c r="B58" s="49" t="s">
        <v>40</v>
      </c>
      <c r="C58" s="45"/>
      <c r="D58" s="45"/>
      <c r="E58" s="45"/>
      <c r="F58" s="46"/>
      <c r="G58" s="62"/>
      <c r="H58" s="46"/>
      <c r="I58" s="46"/>
      <c r="J58" s="46"/>
      <c r="K58" s="46"/>
      <c r="L58" s="46"/>
      <c r="M58" s="46"/>
      <c r="N58" s="46"/>
      <c r="O58" s="46"/>
      <c r="P58" s="46"/>
      <c r="Q58" s="47"/>
      <c r="R58" s="46"/>
      <c r="S58" s="46"/>
      <c r="T58" s="47"/>
      <c r="U58" s="46"/>
      <c r="V58" s="46"/>
      <c r="W58" s="45"/>
      <c r="X58" s="60"/>
      <c r="Y58" s="45"/>
    </row>
    <row r="59" spans="2:25" s="4" customFormat="1" ht="4.5" customHeight="1">
      <c r="B59" s="45"/>
      <c r="C59" s="45"/>
      <c r="D59" s="45"/>
      <c r="E59" s="45"/>
      <c r="F59" s="46"/>
      <c r="G59" s="62"/>
      <c r="H59" s="46"/>
      <c r="I59" s="46"/>
      <c r="J59" s="46"/>
      <c r="K59" s="46"/>
      <c r="L59" s="46"/>
      <c r="M59" s="46"/>
      <c r="N59" s="46"/>
      <c r="O59" s="46"/>
      <c r="P59" s="46"/>
      <c r="Q59" s="47"/>
      <c r="R59" s="46"/>
      <c r="S59" s="46"/>
      <c r="T59" s="47"/>
      <c r="U59" s="46"/>
      <c r="V59" s="46"/>
      <c r="W59" s="45"/>
      <c r="X59" s="60"/>
      <c r="Y59" s="45"/>
    </row>
    <row r="60" spans="1:25" s="4" customFormat="1" ht="11.25">
      <c r="A60" s="50">
        <v>3.01</v>
      </c>
      <c r="B60" s="3"/>
      <c r="C60" s="3"/>
      <c r="D60" s="3" t="s">
        <v>42</v>
      </c>
      <c r="E60" s="3"/>
      <c r="F60" s="67">
        <v>0.1</v>
      </c>
      <c r="G60" s="2"/>
      <c r="H60" s="13"/>
      <c r="I60" s="13">
        <f>F60*H60</f>
        <v>0</v>
      </c>
      <c r="J60" s="13">
        <f>I60*$L$8</f>
        <v>0</v>
      </c>
      <c r="K60" s="13"/>
      <c r="L60" s="13">
        <f>F60*K60</f>
        <v>0</v>
      </c>
      <c r="M60" s="66">
        <f>S35+S56</f>
        <v>2630164.273647541</v>
      </c>
      <c r="N60" s="13">
        <f>F60*M60</f>
        <v>263016.42736475414</v>
      </c>
      <c r="O60" s="13"/>
      <c r="P60" s="13">
        <f>F60*O60</f>
        <v>0</v>
      </c>
      <c r="Q60" s="38"/>
      <c r="R60" s="13">
        <f>(J60+L60+N60+P60)*Q60</f>
        <v>0</v>
      </c>
      <c r="S60" s="13">
        <f>J60+L60+N60+P60+R60</f>
        <v>263016.42736475414</v>
      </c>
      <c r="T60" s="38">
        <v>0.25</v>
      </c>
      <c r="U60" s="13">
        <f>S60*T60</f>
        <v>65754.10684118854</v>
      </c>
      <c r="V60" s="13">
        <f>S60+U60</f>
        <v>328770.53420594265</v>
      </c>
      <c r="W60" s="3"/>
      <c r="X60" s="58"/>
      <c r="Y60" s="3"/>
    </row>
    <row r="61" spans="1:25" s="4" customFormat="1" ht="11.25">
      <c r="A61" s="50">
        <v>3.02</v>
      </c>
      <c r="B61" s="3"/>
      <c r="C61" s="3"/>
      <c r="D61" s="3" t="s">
        <v>32</v>
      </c>
      <c r="E61" s="3"/>
      <c r="F61" s="13"/>
      <c r="G61" s="2"/>
      <c r="H61" s="13"/>
      <c r="I61" s="13">
        <f>F61*H61</f>
        <v>0</v>
      </c>
      <c r="J61" s="13">
        <f>I61*$L$8</f>
        <v>0</v>
      </c>
      <c r="K61" s="13"/>
      <c r="L61" s="13">
        <f>F61*K61</f>
        <v>0</v>
      </c>
      <c r="M61" s="13"/>
      <c r="N61" s="13">
        <f>F61*M61</f>
        <v>0</v>
      </c>
      <c r="O61" s="13"/>
      <c r="P61" s="13">
        <f>F61*O61</f>
        <v>0</v>
      </c>
      <c r="Q61" s="38"/>
      <c r="R61" s="13">
        <f>(J61+L61+N61+P61)*Q61</f>
        <v>0</v>
      </c>
      <c r="S61" s="13">
        <f>J61+L61+N61+P61+R61</f>
        <v>0</v>
      </c>
      <c r="T61" s="38"/>
      <c r="U61" s="13">
        <f>S61*T61</f>
        <v>0</v>
      </c>
      <c r="V61" s="13">
        <f>S61+U61</f>
        <v>0</v>
      </c>
      <c r="W61" s="3"/>
      <c r="X61" s="58"/>
      <c r="Y61" s="3"/>
    </row>
    <row r="62" spans="1:25" s="4" customFormat="1" ht="11.25">
      <c r="A62" s="50">
        <v>3.03</v>
      </c>
      <c r="B62" s="3"/>
      <c r="C62" s="3"/>
      <c r="D62" s="3" t="s">
        <v>36</v>
      </c>
      <c r="E62" s="3"/>
      <c r="F62" s="13"/>
      <c r="G62" s="2"/>
      <c r="H62" s="13"/>
      <c r="I62" s="13">
        <f>F62*H62</f>
        <v>0</v>
      </c>
      <c r="J62" s="13">
        <f>I62*$L$8</f>
        <v>0</v>
      </c>
      <c r="K62" s="13"/>
      <c r="L62" s="13">
        <f>F62*K62</f>
        <v>0</v>
      </c>
      <c r="M62" s="13"/>
      <c r="N62" s="13">
        <f>F62*M62</f>
        <v>0</v>
      </c>
      <c r="O62" s="13"/>
      <c r="P62" s="13">
        <f>F62*O62</f>
        <v>0</v>
      </c>
      <c r="Q62" s="38"/>
      <c r="R62" s="13">
        <f>(J62+L62+N62+P62)*Q62</f>
        <v>0</v>
      </c>
      <c r="S62" s="13">
        <f>J62+L62+N62+P62+R62</f>
        <v>0</v>
      </c>
      <c r="T62" s="38"/>
      <c r="U62" s="13">
        <f>S62*T62</f>
        <v>0</v>
      </c>
      <c r="V62" s="13">
        <f>S62+U62</f>
        <v>0</v>
      </c>
      <c r="W62" s="3"/>
      <c r="X62" s="58"/>
      <c r="Y62" s="3"/>
    </row>
    <row r="63" spans="2:25" s="14" customFormat="1" ht="24.75" customHeight="1">
      <c r="B63" s="80" t="s">
        <v>41</v>
      </c>
      <c r="C63" s="81"/>
      <c r="D63" s="81"/>
      <c r="E63" s="81"/>
      <c r="F63" s="81"/>
      <c r="G63" s="81"/>
      <c r="H63" s="82"/>
      <c r="I63" s="36">
        <f>SUM(I60:I62)</f>
        <v>0</v>
      </c>
      <c r="J63" s="36">
        <f>SUM(J60:J62)</f>
        <v>0</v>
      </c>
      <c r="K63" s="35"/>
      <c r="L63" s="36">
        <f>SUM(L60:L62)</f>
        <v>0</v>
      </c>
      <c r="M63" s="35"/>
      <c r="N63" s="36">
        <f>SUM(N60:N62)</f>
        <v>263016.42736475414</v>
      </c>
      <c r="O63" s="35"/>
      <c r="P63" s="36">
        <f>SUM(P60:P62)</f>
        <v>0</v>
      </c>
      <c r="Q63" s="41">
        <f>R63/S63</f>
        <v>0</v>
      </c>
      <c r="R63" s="36">
        <f>SUM(R60:R62)</f>
        <v>0</v>
      </c>
      <c r="S63" s="36">
        <f>SUM(S60:S62)</f>
        <v>263016.42736475414</v>
      </c>
      <c r="T63" s="41">
        <f>U63/S63</f>
        <v>0.25</v>
      </c>
      <c r="U63" s="36">
        <f>SUM(U60:U62)</f>
        <v>65754.10684118854</v>
      </c>
      <c r="V63" s="36">
        <f>SUM(V60:V62)</f>
        <v>328770.53420594265</v>
      </c>
      <c r="W63" s="4"/>
      <c r="X63" s="1"/>
      <c r="Y63" s="4"/>
    </row>
    <row r="64" spans="7:24" s="4" customFormat="1" ht="11.25">
      <c r="G64" s="12"/>
      <c r="X64" s="1"/>
    </row>
    <row r="65" spans="2:25" s="14" customFormat="1" ht="24.75" customHeight="1">
      <c r="B65" s="80" t="s">
        <v>44</v>
      </c>
      <c r="C65" s="81"/>
      <c r="D65" s="81"/>
      <c r="E65" s="81"/>
      <c r="F65" s="81"/>
      <c r="G65" s="81"/>
      <c r="H65" s="82"/>
      <c r="I65" s="36"/>
      <c r="J65" s="36"/>
      <c r="K65" s="35"/>
      <c r="L65" s="36"/>
      <c r="M65" s="35"/>
      <c r="N65" s="36"/>
      <c r="O65" s="35"/>
      <c r="P65" s="36"/>
      <c r="Q65" s="41"/>
      <c r="R65" s="36"/>
      <c r="S65" s="36">
        <f>S35+S56+S63</f>
        <v>2893180.701012295</v>
      </c>
      <c r="T65" s="41">
        <f>U65/S65</f>
        <v>0.25</v>
      </c>
      <c r="U65" s="36">
        <f>U35+U56+U63</f>
        <v>723295.1752530738</v>
      </c>
      <c r="V65" s="36">
        <f>V35+V56+V63</f>
        <v>3616475.8762653684</v>
      </c>
      <c r="W65" s="4"/>
      <c r="X65" s="1"/>
      <c r="Y65" s="4"/>
    </row>
    <row r="66" spans="7:24" s="4" customFormat="1" ht="11.25">
      <c r="G66" s="12"/>
      <c r="X66" s="1"/>
    </row>
    <row r="67" spans="7:24" s="4" customFormat="1" ht="11.25">
      <c r="G67" s="12"/>
      <c r="X67" s="1"/>
    </row>
    <row r="68" spans="3:25" s="4" customFormat="1" ht="11.25">
      <c r="C68" s="1"/>
      <c r="D68" s="1"/>
      <c r="E68" s="1"/>
      <c r="F68" s="1"/>
      <c r="G68" s="4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3:25" s="4" customFormat="1" ht="11.25">
      <c r="C69" s="1"/>
      <c r="D69" s="1"/>
      <c r="E69" s="1"/>
      <c r="F69" s="1"/>
      <c r="G69" s="4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3:25" s="4" customFormat="1" ht="11.25">
      <c r="C70" s="1"/>
      <c r="D70" s="1"/>
      <c r="E70" s="1"/>
      <c r="F70" s="1"/>
      <c r="G70" s="4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7:24" s="4" customFormat="1" ht="11.25">
      <c r="G71" s="12"/>
      <c r="X71" s="1"/>
    </row>
    <row r="72" spans="7:24" s="4" customFormat="1" ht="11.25">
      <c r="G72" s="12"/>
      <c r="X72" s="1"/>
    </row>
    <row r="73" spans="7:24" s="4" customFormat="1" ht="11.25">
      <c r="G73" s="12"/>
      <c r="X73" s="1"/>
    </row>
    <row r="74" spans="7:24" s="4" customFormat="1" ht="11.25">
      <c r="G74" s="12"/>
      <c r="X74" s="1"/>
    </row>
    <row r="75" spans="7:24" s="4" customFormat="1" ht="11.25">
      <c r="G75" s="12"/>
      <c r="X75" s="1"/>
    </row>
    <row r="76" spans="7:24" s="4" customFormat="1" ht="11.25">
      <c r="G76" s="12"/>
      <c r="X76" s="1"/>
    </row>
    <row r="77" spans="7:24" s="4" customFormat="1" ht="11.25">
      <c r="G77" s="12"/>
      <c r="X77" s="1"/>
    </row>
    <row r="78" spans="7:24" s="4" customFormat="1" ht="11.25">
      <c r="G78" s="12"/>
      <c r="X78" s="1"/>
    </row>
    <row r="79" spans="7:24" s="4" customFormat="1" ht="11.25">
      <c r="G79" s="12"/>
      <c r="X79" s="1"/>
    </row>
    <row r="80" spans="7:24" s="4" customFormat="1" ht="11.25">
      <c r="G80" s="12"/>
      <c r="X80" s="1"/>
    </row>
    <row r="81" spans="7:24" s="4" customFormat="1" ht="11.25">
      <c r="G81" s="12"/>
      <c r="X81" s="1"/>
    </row>
    <row r="82" spans="7:24" s="4" customFormat="1" ht="11.25">
      <c r="G82" s="12"/>
      <c r="X82" s="1"/>
    </row>
    <row r="83" spans="7:24" s="4" customFormat="1" ht="11.25">
      <c r="G83" s="12"/>
      <c r="X83" s="1"/>
    </row>
    <row r="84" spans="7:24" s="4" customFormat="1" ht="11.25">
      <c r="G84" s="12"/>
      <c r="X84" s="1"/>
    </row>
    <row r="85" spans="7:24" s="4" customFormat="1" ht="11.25">
      <c r="G85" s="12"/>
      <c r="X85" s="1"/>
    </row>
    <row r="86" spans="7:24" s="4" customFormat="1" ht="11.25">
      <c r="G86" s="12"/>
      <c r="X86" s="1"/>
    </row>
    <row r="87" spans="7:24" s="4" customFormat="1" ht="11.25">
      <c r="G87" s="12"/>
      <c r="X87" s="1"/>
    </row>
    <row r="88" spans="7:24" s="4" customFormat="1" ht="11.25">
      <c r="G88" s="12"/>
      <c r="X88" s="1"/>
    </row>
    <row r="89" spans="7:24" s="4" customFormat="1" ht="11.25">
      <c r="G89" s="12"/>
      <c r="X89" s="1"/>
    </row>
    <row r="90" spans="7:24" s="4" customFormat="1" ht="11.25">
      <c r="G90" s="12"/>
      <c r="X90" s="1"/>
    </row>
    <row r="91" spans="7:24" s="4" customFormat="1" ht="11.25">
      <c r="G91" s="12"/>
      <c r="X91" s="1"/>
    </row>
    <row r="92" spans="7:24" s="4" customFormat="1" ht="11.25">
      <c r="G92" s="12"/>
      <c r="X92" s="1"/>
    </row>
  </sheetData>
  <sheetProtection/>
  <mergeCells count="4">
    <mergeCell ref="B35:H35"/>
    <mergeCell ref="B56:H56"/>
    <mergeCell ref="B63:H63"/>
    <mergeCell ref="B65:H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2014-03-28T18:31:43Z</cp:lastPrinted>
  <dcterms:created xsi:type="dcterms:W3CDTF">1998-12-07T19:56:09Z</dcterms:created>
  <dcterms:modified xsi:type="dcterms:W3CDTF">2014-03-28T18:31:49Z</dcterms:modified>
  <cp:category/>
  <cp:version/>
  <cp:contentType/>
  <cp:contentStatus/>
</cp:coreProperties>
</file>