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80" windowHeight="12210" tabRatio="522" activeTab="1"/>
  </bookViews>
  <sheets>
    <sheet name="Summary" sheetId="1" r:id="rId1"/>
    <sheet name="Detail Costs" sheetId="2" r:id="rId2"/>
  </sheets>
  <externalReferences>
    <externalReference r:id="rId5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REA">#REF!</definedName>
    <definedName name="Area_Precast_Section">#REF!</definedName>
    <definedName name="CLIENTS">'[1]PICK LISTS'!$B$22:$B$25</definedName>
    <definedName name="CONTRACT">#REF!</definedName>
    <definedName name="ESTIMATE">#REF!</definedName>
    <definedName name="Length_Precast_Unit">#REF!</definedName>
    <definedName name="_xlnm.Print_Area" localSheetId="1">'Detail Costs'!$B$3:$V$65</definedName>
    <definedName name="_xlnm.Print_Titles" localSheetId="1">'Detail Costs'!$1:$10</definedName>
    <definedName name="TITLES">#REF!</definedName>
    <definedName name="Unit_Price_Precast_Unit">#REF!</definedName>
    <definedName name="Volume_Precast_Unit">#REF!</definedName>
    <definedName name="WAGEPROD">#REF!</definedName>
    <definedName name="Zone_impres_MI" localSheetId="0">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<sst xmlns="http://schemas.openxmlformats.org/spreadsheetml/2006/main" count="133" uniqueCount="105">
  <si>
    <t>Mhr/Unit</t>
  </si>
  <si>
    <t>Unit</t>
  </si>
  <si>
    <t>Description</t>
  </si>
  <si>
    <t>Qty</t>
  </si>
  <si>
    <t>Remarks</t>
  </si>
  <si>
    <t>Other/Unit ($)</t>
  </si>
  <si>
    <t>Total ($)</t>
  </si>
  <si>
    <t>CLIENT:</t>
  </si>
  <si>
    <t>PROJECT TITLE:</t>
  </si>
  <si>
    <t>DATE:</t>
  </si>
  <si>
    <t>AUTHOR:</t>
  </si>
  <si>
    <t>MTO No.:</t>
  </si>
  <si>
    <t>PROJECT No.:</t>
  </si>
  <si>
    <t>REVISION:</t>
  </si>
  <si>
    <t>Sub Area</t>
  </si>
  <si>
    <t>CONTINGENCY</t>
  </si>
  <si>
    <t>Mhr Total</t>
  </si>
  <si>
    <t>Material/Unit ($)</t>
  </si>
  <si>
    <t>Mhr Cost ($)</t>
  </si>
  <si>
    <t>Material Total ($)</t>
  </si>
  <si>
    <t>Other Total ($)</t>
  </si>
  <si>
    <t>Contingency %</t>
  </si>
  <si>
    <t>Contingency ($)</t>
  </si>
  <si>
    <t>Allowance ($)</t>
  </si>
  <si>
    <t>Allowance %</t>
  </si>
  <si>
    <t>ACCURACY:</t>
  </si>
  <si>
    <t>DESCRIPTION</t>
  </si>
  <si>
    <t>REFERENCE</t>
  </si>
  <si>
    <t>TOTAL COSTS</t>
  </si>
  <si>
    <t>TOTAL COST</t>
  </si>
  <si>
    <t>DIRECT CONSTRUCTION COSTS (see detail sheet for breakdown)</t>
  </si>
  <si>
    <t>INDIRECT COSTS (see detail sheet for breakdown)</t>
  </si>
  <si>
    <t>OWNERS COSTS</t>
  </si>
  <si>
    <t>EPCM COSTS</t>
  </si>
  <si>
    <t>SUB TOTAL COSTS</t>
  </si>
  <si>
    <t>Sub Total ($)</t>
  </si>
  <si>
    <t>ESCALATION</t>
  </si>
  <si>
    <t>DIRECT COST SUB TOTAL</t>
  </si>
  <si>
    <t>DIRECT COSTS</t>
  </si>
  <si>
    <t>INDIRECT COST SUB TOTAL</t>
  </si>
  <si>
    <t>OTHER COSTS</t>
  </si>
  <si>
    <t>OTHER COST SUB TOTAL</t>
  </si>
  <si>
    <t>EPCM</t>
  </si>
  <si>
    <t>Area / WBS</t>
  </si>
  <si>
    <t>TOTAL</t>
  </si>
  <si>
    <t>INDIRECT COSTS</t>
  </si>
  <si>
    <t xml:space="preserve">TEMPORARY FACILITIES AND CONSTRUCTION SITE SERVICES </t>
  </si>
  <si>
    <t xml:space="preserve">OVERTIME PREMIUM FOR COMPRESSED WORK WEEK </t>
  </si>
  <si>
    <t xml:space="preserve">NON-PRODUCTIVE TIME </t>
  </si>
  <si>
    <t xml:space="preserve">SPOT OVERTIME </t>
  </si>
  <si>
    <t xml:space="preserve">CONTRACTOR LOA AND TRAVEL </t>
  </si>
  <si>
    <t xml:space="preserve">HEAVY LIFT </t>
  </si>
  <si>
    <t xml:space="preserve">TRANSPORTATION AND FREIGHT </t>
  </si>
  <si>
    <t xml:space="preserve">CAPITAL SPARE PARTS </t>
  </si>
  <si>
    <t xml:space="preserve">VENDOR ERECTION SUPERVISION </t>
  </si>
  <si>
    <t xml:space="preserve">FIRST FILLS </t>
  </si>
  <si>
    <t xml:space="preserve">ENVIRONMENTAL ASSESSMENT, MONITORING AND TESTING SERVICES </t>
  </si>
  <si>
    <t xml:space="preserve">CONSTRUCTION INSURANCE </t>
  </si>
  <si>
    <t xml:space="preserve">BUILDING PERMITS </t>
  </si>
  <si>
    <t>ESTIMATE - DIRECT/INDIRECT/OTHER CONSTRUCTION COSTS DETAIL</t>
  </si>
  <si>
    <t>ESTIMATE - SUMMARY</t>
  </si>
  <si>
    <t>TEMPORARY CONSTRUCTION CAMP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</si>
  <si>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</si>
  <si>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GEOTECHNICAL INVESTIGATIONS AND RECOMMENDATIONS </t>
  </si>
  <si>
    <t>307071-00895</t>
  </si>
  <si>
    <t xml:space="preserve"> +/-50%</t>
  </si>
  <si>
    <t>MW</t>
  </si>
  <si>
    <t>SNOW REMOVAL</t>
  </si>
  <si>
    <t>MDY</t>
  </si>
  <si>
    <t>Equipment Mob / Demob</t>
  </si>
  <si>
    <t>Transport from Dawson City to site (approx 110km one-way).</t>
  </si>
  <si>
    <t>Fuel Transportation</t>
  </si>
  <si>
    <t>27,000 liter tanker</t>
  </si>
  <si>
    <t>M3</t>
  </si>
  <si>
    <t>Round Trip</t>
  </si>
  <si>
    <t>liters</t>
  </si>
  <si>
    <t>EA</t>
  </si>
  <si>
    <t>Drill &amp; blast, screen &amp; sort, load &amp; haul to site, double handling and place.</t>
  </si>
  <si>
    <t>Subcontract Costs/Unit ($)</t>
  </si>
  <si>
    <t>Subcontract Total ($)</t>
  </si>
  <si>
    <t>n/a</t>
  </si>
  <si>
    <t xml:space="preserve"> *fuel included in all-in rates.</t>
  </si>
  <si>
    <t>Water Diversion</t>
  </si>
  <si>
    <t>Aquadam - supply &amp; install</t>
  </si>
  <si>
    <t>HDPE pipe &amp; aquadam.</t>
  </si>
  <si>
    <t>ROAD MAINTENANCE</t>
  </si>
  <si>
    <t>Dawson City to Site - 15 passenger shuttle bus.</t>
  </si>
  <si>
    <t>LD</t>
  </si>
  <si>
    <t>Edmonton to Dawson City 2,519km. Dawson City to Site approx 110km.2ea-345, 1ea-963, 7ea-40ton rock trucks.</t>
  </si>
  <si>
    <t>Channel Armouring</t>
  </si>
  <si>
    <t>Rip-rap - 800 mm dia.</t>
  </si>
  <si>
    <t>1ea-D8 &amp; 1ea-345 ex</t>
  </si>
  <si>
    <t>6' x 100' lg</t>
  </si>
  <si>
    <t>Edm to Dawson City charter flight + DC to Site by charter bus.  1 flight/man.</t>
  </si>
  <si>
    <t>Fuel truck &amp; driver</t>
  </si>
  <si>
    <t>Waste rock</t>
  </si>
  <si>
    <t>RV rental, 2men per unit + per diem. Aquadam &amp; HDPE, drill &amp; blast, crush, load &amp; haul, place gabions.</t>
  </si>
  <si>
    <t>Assessment and Abandoned Mines</t>
  </si>
  <si>
    <t>Clinton Creek Site LCCA - Replace Drop Structure 4 Armouring (Clinton Option A)</t>
  </si>
  <si>
    <t>Asbestos Control</t>
  </si>
  <si>
    <t>Equipment washdown equip &amp; labour</t>
  </si>
  <si>
    <t>Assume existing building of 1ea - 80'x120' temprorary building , 300mm SOG. 1ea - 4.5 GPM pressure washers w/ 600Gal tanks, 2man hours / day.</t>
  </si>
  <si>
    <t>Equipment / vehicle heppa filters,</t>
  </si>
  <si>
    <t>LS</t>
  </si>
  <si>
    <t>PPE; respirators, overalls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</si>
</sst>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_(* #,##0.00_);_(* \(#,##0.00\);_(* &quot;-&quot;??_);_(@_)"/>
    <numFmt numFmtId="166" formatCode="General_)"/>
    <numFmt numFmtId="167" formatCode="#.00"/>
    <numFmt numFmtId="168" formatCode="#,##0."/>
    <numFmt numFmtId="169" formatCode="&quot;$&quot;#."/>
    <numFmt numFmtId="170" formatCode="0.0"/>
    <numFmt numFmtId="171" formatCode="_(* #,##0_);_(* \(#,##0\);_(* &quot;-&quot;??_);_(@_)"/>
    <numFmt numFmtId="172" formatCode="0.000"/>
    <numFmt numFmtId="173" formatCode="&quot;$&quot;#,##0"/>
    <numFmt numFmtId="174" formatCode="0.0%"/>
    <numFmt numFmtId="175" formatCode="0.00000%"/>
    <numFmt numFmtId="176" formatCode="&quot;$&quot;#,##0.00_);[Red]\(&quot;$&quot;#,##0.00\)"/>
    <numFmt numFmtId="177" formatCode="&quot;$&quot;#,##0_);[Red]\(&quot;$&quot;#,##0\)"/>
    <numFmt numFmtId="178" formatCode="0_)"/>
    <numFmt numFmtId="179" formatCode="0.0_)"/>
    <numFmt numFmtId="180" formatCode="#,##0.000"/>
    <numFmt numFmtId="181" formatCode="_-&quot;$&quot;* #,##0.000_-;\-&quot;$&quot;* #,##0.000_-;_-&quot;$&quot;* &quot;-&quot;???_-;_-@_-"/>
    <numFmt numFmtId="182" formatCode="_-* #,##0.000_-;\-* #,##0.000_-;_-* &quot;-&quot;???_-;_-@_-"/>
    <numFmt numFmtId="183" formatCode="_-&quot;$&quot;* #,##0.000_-;\-&quot;$&quot;* #,##0.000_-;_-&quot;$&quot;* &quot;-&quot;??_-;_-@_-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#,##0.0000"/>
    <numFmt numFmtId="187" formatCode="#,##0.0"/>
    <numFmt numFmtId="188" formatCode="_(* #,##0.000_);_(* \(#,##0.000\);_(* &quot;-&quot;??_);_(@_)"/>
    <numFmt numFmtId="189" formatCode="_(* #,##0.0_);_(* \(#,##0.0\);_(* &quot;-&quot;??_);_(@_)"/>
    <numFmt numFmtId="190" formatCode="_(&quot;$&quot;* #,##0_);_(&quot;$&quot;* \(#,##0\);_(&quot;$&quot;* &quot;-&quot;??_);_(@_)"/>
    <numFmt numFmtId="191" formatCode="_-&quot;$&quot;* #,##0.0000_-;\-&quot;$&quot;* #,##0.0000_-;_-&quot;$&quot;* &quot;-&quot;??_-;_-@_-"/>
    <numFmt numFmtId="192" formatCode="_-&quot;$&quot;* #,##0.0000_-;\-&quot;$&quot;* #,##0.0000_-;_-&quot;$&quot;* &quot;-&quot;????_-;_-@_-"/>
    <numFmt numFmtId="193" formatCode="_-&quot;$&quot;* #,##0.0_-;\-&quot;$&quot;* #,##0.0_-;_-&quot;$&quot;* &quot;-&quot;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0"/>
    <numFmt numFmtId="199" formatCode="&quot;$&quot;#,##0.00"/>
    <numFmt numFmtId="200" formatCode="_ * #,##0.00_)\ &quot;$&quot;_ ;_ * \(#,##0.00\)\ &quot;$&quot;_ ;_ * &quot;-&quot;??_)\ &quot;$&quot;_ ;_ @_ "/>
    <numFmt numFmtId="201" formatCode="_(&quot;$&quot;* #,##0.00_);_(&quot;$&quot;* \(#,##0.00\);_(&quot;$&quot;* &quot;-&quot;??_);_(@_)"/>
    <numFmt numFmtId="202" formatCode="[$-1009]mmmm\-dd\-yy"/>
    <numFmt numFmtId="203" formatCode="[$-409]h:mm:ss\ AM/PM"/>
    <numFmt numFmtId="204" formatCode="[$-1009]d\-mmm\-yy;@"/>
    <numFmt numFmtId="205" formatCode="_-* #,##0.0_-;\-* #,##0.0_-;_-* &quot;-&quot;?_-;_-@_-"/>
    <numFmt numFmtId="206" formatCode="_ * #,##0.00_)\ _$_ ;_ * \(#,##0.00\)\ _$_ ;_ * &quot;-&quot;??_)\ _$_ ;_ @_ "/>
    <numFmt numFmtId="207" formatCode="_([$€-2]* #,##0.00_);_([$€-2]* \(#,##0.00\);_([$€-2]* &quot;-&quot;??_)"/>
    <numFmt numFmtId="208" formatCode="_-* #,##0.0_-;\-* #,##0.0_-;_-* &quot;-&quot;??_-;_-@_-"/>
    <numFmt numFmtId="209" formatCode="_-* #,##0_-;\-* #,##0_-;_-* &quot;-&quot;??_-;_-@_-"/>
  </numFmts>
  <fonts count="58"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6.4"/>
      <color indexed="12"/>
      <name val="Arial"/>
      <family val="2"/>
    </font>
    <font>
      <sz val="10"/>
      <name val="LinePrinter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u val="single"/>
      <sz val="6"/>
      <color indexed="20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6"/>
      <color theme="11"/>
      <name val="Arial"/>
      <family val="2"/>
    </font>
    <font>
      <sz val="10"/>
      <color rgb="FF006100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double"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4" fillId="36" borderId="1" applyNumberFormat="0" applyAlignment="0" applyProtection="0"/>
    <xf numFmtId="0" fontId="42" fillId="37" borderId="2" applyNumberFormat="0" applyAlignment="0" applyProtection="0"/>
    <xf numFmtId="0" fontId="13" fillId="0" borderId="3" applyNumberFormat="0" applyFill="0" applyAlignment="0" applyProtection="0"/>
    <xf numFmtId="0" fontId="43" fillId="38" borderId="4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4" fillId="0" borderId="0">
      <alignment/>
      <protection locked="0"/>
    </xf>
    <xf numFmtId="0" fontId="3" fillId="4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" fillId="0" borderId="0" applyFont="0" applyFill="0" applyBorder="0" applyAlignment="0" applyProtection="0"/>
    <xf numFmtId="169" fontId="4" fillId="0" borderId="0">
      <alignment/>
      <protection locked="0"/>
    </xf>
    <xf numFmtId="0" fontId="4" fillId="0" borderId="0">
      <alignment/>
      <protection locked="0"/>
    </xf>
    <xf numFmtId="0" fontId="15" fillId="13" borderId="1" applyNumberFormat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7" fontId="4" fillId="0" borderId="0">
      <alignment/>
      <protection locked="0"/>
    </xf>
    <xf numFmtId="0" fontId="45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40" borderId="2" applyNumberFormat="0" applyAlignment="0" applyProtection="0"/>
    <xf numFmtId="0" fontId="50" fillId="40" borderId="2" applyNumberFormat="0" applyAlignment="0" applyProtection="0"/>
    <xf numFmtId="0" fontId="16" fillId="41" borderId="0" applyNumberFormat="0" applyBorder="0" applyAlignment="0" applyProtection="0"/>
    <xf numFmtId="0" fontId="51" fillId="0" borderId="8" applyNumberFormat="0" applyFill="0" applyAlignment="0" applyProtection="0"/>
    <xf numFmtId="200" fontId="3" fillId="0" borderId="0" applyFont="0" applyFill="0" applyBorder="0" applyAlignment="0" applyProtection="0"/>
    <xf numFmtId="0" fontId="52" fillId="42" borderId="0" applyNumberFormat="0" applyBorder="0" applyAlignment="0" applyProtection="0"/>
    <xf numFmtId="0" fontId="17" fillId="1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43" borderId="9" applyNumberFormat="0" applyFont="0" applyAlignment="0" applyProtection="0"/>
    <xf numFmtId="0" fontId="54" fillId="37" borderId="10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36" borderId="11" applyNumberFormat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15">
      <alignment/>
      <protection locked="0"/>
    </xf>
    <xf numFmtId="3" fontId="56" fillId="44" borderId="10">
      <alignment horizontal="center"/>
      <protection/>
    </xf>
    <xf numFmtId="0" fontId="24" fillId="45" borderId="16" applyNumberFormat="0" applyAlignment="0" applyProtection="0"/>
    <xf numFmtId="0" fontId="5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0" fillId="46" borderId="18" xfId="0" applyFill="1" applyBorder="1" applyAlignment="1">
      <alignment vertical="center"/>
    </xf>
    <xf numFmtId="0" fontId="0" fillId="46" borderId="19" xfId="0" applyFill="1" applyBorder="1" applyAlignment="1">
      <alignment vertical="center"/>
    </xf>
    <xf numFmtId="0" fontId="0" fillId="46" borderId="21" xfId="0" applyFill="1" applyBorder="1" applyAlignment="1">
      <alignment vertical="center"/>
    </xf>
    <xf numFmtId="0" fontId="26" fillId="46" borderId="22" xfId="0" applyFont="1" applyFill="1" applyBorder="1" applyAlignment="1">
      <alignment horizontal="right" vertical="center"/>
    </xf>
    <xf numFmtId="0" fontId="26" fillId="46" borderId="23" xfId="0" applyFont="1" applyFill="1" applyBorder="1" applyAlignment="1">
      <alignment horizontal="right" vertical="center"/>
    </xf>
    <xf numFmtId="0" fontId="26" fillId="46" borderId="24" xfId="0" applyFont="1" applyFill="1" applyBorder="1" applyAlignment="1">
      <alignment horizontal="right" vertical="center"/>
    </xf>
    <xf numFmtId="0" fontId="26" fillId="46" borderId="19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center" vertical="center" wrapText="1"/>
    </xf>
    <xf numFmtId="4" fontId="8" fillId="0" borderId="0" xfId="63" applyNumberFormat="1" applyFont="1" applyFill="1" applyAlignment="1">
      <alignment horizontal="right" vertical="center" wrapText="1"/>
    </xf>
    <xf numFmtId="0" fontId="26" fillId="46" borderId="17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6" fillId="46" borderId="25" xfId="0" applyFont="1" applyFill="1" applyBorder="1" applyAlignment="1">
      <alignment horizontal="right" vertical="center"/>
    </xf>
    <xf numFmtId="0" fontId="26" fillId="46" borderId="26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42" fontId="26" fillId="46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171" fontId="26" fillId="0" borderId="17" xfId="63" applyNumberFormat="1" applyFont="1" applyFill="1" applyBorder="1" applyAlignment="1">
      <alignment horizontal="left" vertical="center" wrapText="1"/>
    </xf>
    <xf numFmtId="42" fontId="26" fillId="0" borderId="17" xfId="63" applyNumberFormat="1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vertical="center" wrapText="1"/>
    </xf>
    <xf numFmtId="171" fontId="26" fillId="46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9" fontId="0" fillId="0" borderId="17" xfId="101" applyFont="1" applyFill="1" applyBorder="1" applyAlignment="1">
      <alignment horizontal="center" vertical="center" wrapText="1"/>
    </xf>
    <xf numFmtId="174" fontId="0" fillId="0" borderId="20" xfId="98" applyNumberFormat="1" applyFont="1" applyFill="1" applyBorder="1" applyAlignment="1">
      <alignment horizontal="center"/>
      <protection/>
    </xf>
    <xf numFmtId="3" fontId="0" fillId="0" borderId="20" xfId="98" applyNumberFormat="1" applyFont="1" applyFill="1" applyBorder="1" applyAlignment="1">
      <alignment horizontal="center"/>
      <protection/>
    </xf>
    <xf numFmtId="9" fontId="26" fillId="46" borderId="17" xfId="101" applyFont="1" applyFill="1" applyBorder="1" applyAlignment="1">
      <alignment horizontal="center" vertical="center" wrapText="1"/>
    </xf>
    <xf numFmtId="42" fontId="0" fillId="0" borderId="0" xfId="0" applyNumberFormat="1" applyFill="1" applyAlignment="1">
      <alignment vertical="center" wrapText="1"/>
    </xf>
    <xf numFmtId="9" fontId="0" fillId="0" borderId="0" xfId="10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1" fontId="0" fillId="0" borderId="0" xfId="63" applyNumberFormat="1" applyFont="1" applyFill="1" applyBorder="1" applyAlignment="1">
      <alignment horizontal="left" vertical="center" wrapText="1"/>
    </xf>
    <xf numFmtId="9" fontId="0" fillId="0" borderId="0" xfId="101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2" fontId="0" fillId="0" borderId="0" xfId="63" applyNumberFormat="1" applyFont="1" applyFill="1" applyAlignment="1">
      <alignment vertical="center" wrapText="1"/>
    </xf>
    <xf numFmtId="204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204" fontId="0" fillId="0" borderId="19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2" fontId="0" fillId="0" borderId="17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171" fontId="26" fillId="0" borderId="17" xfId="63" applyNumberFormat="1" applyFont="1" applyFill="1" applyBorder="1" applyAlignment="1">
      <alignment horizontal="right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9" fontId="26" fillId="0" borderId="17" xfId="10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2"/>
    </xf>
    <xf numFmtId="171" fontId="0" fillId="0" borderId="17" xfId="63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" fontId="26" fillId="0" borderId="0" xfId="63" applyNumberFormat="1" applyFont="1" applyFill="1" applyBorder="1" applyAlignment="1">
      <alignment horizontal="right" vertical="center"/>
    </xf>
    <xf numFmtId="44" fontId="0" fillId="0" borderId="0" xfId="68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top" wrapText="1"/>
    </xf>
    <xf numFmtId="209" fontId="26" fillId="0" borderId="17" xfId="63" applyNumberFormat="1" applyFont="1" applyFill="1" applyBorder="1" applyAlignment="1">
      <alignment horizontal="right" vertical="center" wrapText="1"/>
    </xf>
    <xf numFmtId="0" fontId="0" fillId="0" borderId="19" xfId="0" applyFill="1" applyBorder="1" applyAlignment="1">
      <alignment horizontal="left" vertical="center" wrapText="1"/>
    </xf>
    <xf numFmtId="165" fontId="0" fillId="0" borderId="17" xfId="63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horizontal="left" vertical="center" wrapText="1"/>
    </xf>
    <xf numFmtId="0" fontId="26" fillId="46" borderId="20" xfId="0" applyFont="1" applyFill="1" applyBorder="1" applyAlignment="1">
      <alignment horizontal="left" vertical="center" wrapText="1"/>
    </xf>
  </cellXfs>
  <cellStyles count="10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a 2" xfId="65"/>
    <cellStyle name="Comma0" xfId="66"/>
    <cellStyle name="Commentaire" xfId="67"/>
    <cellStyle name="Currency" xfId="68"/>
    <cellStyle name="Currency [0]" xfId="69"/>
    <cellStyle name="Currency 2" xfId="70"/>
    <cellStyle name="Currency0" xfId="71"/>
    <cellStyle name="Date" xfId="72"/>
    <cellStyle name="Entrée" xfId="73"/>
    <cellStyle name="Euro" xfId="74"/>
    <cellStyle name="Euro 2" xfId="75"/>
    <cellStyle name="Explanatory Text" xfId="76"/>
    <cellStyle name="Fixed" xfId="77"/>
    <cellStyle name="Followed Hyperlink" xfId="78"/>
    <cellStyle name="Good" xfId="79"/>
    <cellStyle name="Heading 1" xfId="80"/>
    <cellStyle name="Heading 2" xfId="81"/>
    <cellStyle name="Heading 2 2" xfId="82"/>
    <cellStyle name="Heading 3" xfId="83"/>
    <cellStyle name="Heading 4" xfId="84"/>
    <cellStyle name="Hyperlink" xfId="85"/>
    <cellStyle name="Input" xfId="86"/>
    <cellStyle name="Input 2" xfId="87"/>
    <cellStyle name="Insatisfaisant" xfId="88"/>
    <cellStyle name="Linked Cell" xfId="89"/>
    <cellStyle name="Monétaire_Xl0000044" xfId="90"/>
    <cellStyle name="Neutral" xfId="91"/>
    <cellStyle name="Neutre" xfId="92"/>
    <cellStyle name="Normal 2" xfId="93"/>
    <cellStyle name="Normal 3" xfId="94"/>
    <cellStyle name="Normal 4" xfId="95"/>
    <cellStyle name="Normal 5" xfId="96"/>
    <cellStyle name="Normal 6" xfId="97"/>
    <cellStyle name="Normal_Xl0000044" xfId="98"/>
    <cellStyle name="Note" xfId="99"/>
    <cellStyle name="Output" xfId="100"/>
    <cellStyle name="Percent" xfId="101"/>
    <cellStyle name="Percent 2" xfId="102"/>
    <cellStyle name="Percent 3" xfId="103"/>
    <cellStyle name="Satisfaisant" xfId="104"/>
    <cellStyle name="Sortie" xfId="105"/>
    <cellStyle name="Texte explicatif" xfId="106"/>
    <cellStyle name="Title" xfId="107"/>
    <cellStyle name="Titre" xfId="108"/>
    <cellStyle name="Titre 1" xfId="109"/>
    <cellStyle name="Titre 2" xfId="110"/>
    <cellStyle name="Titre 3" xfId="111"/>
    <cellStyle name="Titre 4" xfId="112"/>
    <cellStyle name="Total" xfId="113"/>
    <cellStyle name="Total/Average" xfId="114"/>
    <cellStyle name="Vérification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47625</xdr:rowOff>
    </xdr:from>
    <xdr:to>
      <xdr:col>4</xdr:col>
      <xdr:colOff>1609725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762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428625</xdr:colOff>
      <xdr:row>2</xdr:row>
      <xdr:rowOff>133350</xdr:rowOff>
    </xdr:from>
    <xdr:to>
      <xdr:col>21</xdr:col>
      <xdr:colOff>704850</xdr:colOff>
      <xdr:row>5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06575" y="419100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YVRWPFIL01\Users\Users\mel.gray\AppData\Local\Microsoft\Windows\Temporary%20Internet%20Files\Content.Outlook\PFLJGR22\TIC%20Cost%20Estim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BSL_COVER"/>
      <sheetName val="BSL_APPR"/>
      <sheetName val="BASIS"/>
      <sheetName val="STRUCTURE"/>
      <sheetName val="RATES"/>
      <sheetName val="ESTIMATE"/>
      <sheetName val="SUMMARY"/>
      <sheetName val="COMMODITIES"/>
      <sheetName val="PICK LISTS"/>
      <sheetName val="LOGOS"/>
      <sheetName val="PIPING_RATES"/>
      <sheetName val="REV_HIST"/>
      <sheetName val="REV"/>
      <sheetName val="YAR_COVER"/>
      <sheetName val="TRANSFER"/>
      <sheetName val="BLANK"/>
    </sheetNames>
    <sheetDataSet>
      <sheetData sheetId="9">
        <row r="22">
          <cell r="B22" t="str">
            <v>BOYNE SMELTERS LIMITED</v>
          </cell>
        </row>
        <row r="23">
          <cell r="B23" t="str">
            <v>QUEENSLAND ALUMINA</v>
          </cell>
        </row>
        <row r="24">
          <cell r="B24" t="str">
            <v>RTA GOVE</v>
          </cell>
        </row>
        <row r="25">
          <cell r="B25" t="str">
            <v>RTA YARWUN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80" zoomScaleNormal="80" zoomScalePageLayoutView="0" workbookViewId="0" topLeftCell="A1">
      <selection activeCell="E26" sqref="E26"/>
    </sheetView>
  </sheetViews>
  <sheetFormatPr defaultColWidth="9.33203125" defaultRowHeight="11.25"/>
  <cols>
    <col min="1" max="1" width="3.16015625" style="1" customWidth="1"/>
    <col min="2" max="2" width="20" style="1" customWidth="1"/>
    <col min="3" max="3" width="81.33203125" style="1" bestFit="1" customWidth="1"/>
    <col min="4" max="4" width="18.33203125" style="1" customWidth="1"/>
    <col min="5" max="5" width="28.66015625" style="32" customWidth="1"/>
    <col min="6" max="7" width="9.33203125" style="1" customWidth="1"/>
    <col min="8" max="8" width="9.83203125" style="1" bestFit="1" customWidth="1"/>
    <col min="9" max="16384" width="9.33203125" style="1" customWidth="1"/>
  </cols>
  <sheetData>
    <row r="1" ht="11.25">
      <c r="A1" s="25" t="str">
        <f ca="1">CELL("filename",A1)</f>
        <v>U:\YVR\307071\00895_YEMR_ClintonCrk\02_Rpts\11_Eng-Tech_Rpt_and_Studies\307071-00895-00-WR-REP-0001_Rev0\Excel and CAD files\Appendix 3\Clinton OPEX\[307071-00895-Clinton Creek LCCA-Replace DS4 Armouring.xls]Summary</v>
      </c>
    </row>
    <row r="2" ht="11.25">
      <c r="E2" s="6"/>
    </row>
    <row r="3" spans="2:5" ht="12.75">
      <c r="B3" s="7" t="s">
        <v>60</v>
      </c>
      <c r="E3" s="6"/>
    </row>
    <row r="4" ht="11.25"/>
    <row r="5" spans="2:5" ht="15.75" customHeight="1">
      <c r="B5" s="26" t="s">
        <v>7</v>
      </c>
      <c r="C5" s="8" t="str">
        <f>'Detail Costs'!D5</f>
        <v>Assessment and Abandoned Mines</v>
      </c>
      <c r="D5" s="29" t="s">
        <v>9</v>
      </c>
      <c r="E5" s="51">
        <f>'Detail Costs'!F5</f>
        <v>41726</v>
      </c>
    </row>
    <row r="6" spans="2:5" ht="15.75" customHeight="1">
      <c r="B6" s="24" t="s">
        <v>8</v>
      </c>
      <c r="C6" s="8" t="str">
        <f>'Detail Costs'!D6</f>
        <v>Clinton Creek Site LCCA - Replace Drop Structure 4 Armouring (Clinton Option A)</v>
      </c>
      <c r="D6" s="29" t="s">
        <v>25</v>
      </c>
      <c r="E6" s="51" t="str">
        <f>'Detail Costs'!F6</f>
        <v> +/-50%</v>
      </c>
    </row>
    <row r="7" spans="2:5" ht="15.75" customHeight="1">
      <c r="B7" s="24" t="s">
        <v>12</v>
      </c>
      <c r="C7" s="58" t="str">
        <f>'Detail Costs'!D7</f>
        <v>307071-00895</v>
      </c>
      <c r="D7" s="29" t="s">
        <v>10</v>
      </c>
      <c r="E7" s="51" t="str">
        <f>'Detail Costs'!F7</f>
        <v>MW</v>
      </c>
    </row>
    <row r="8" spans="2:5" ht="15.75" customHeight="1">
      <c r="B8" s="27" t="s">
        <v>11</v>
      </c>
      <c r="C8" s="11"/>
      <c r="D8" s="29" t="s">
        <v>13</v>
      </c>
      <c r="E8" s="52"/>
    </row>
    <row r="10" spans="2:5" s="12" customFormat="1" ht="21.75" customHeight="1">
      <c r="B10" s="22" t="s">
        <v>27</v>
      </c>
      <c r="C10" s="22" t="s">
        <v>26</v>
      </c>
      <c r="D10" s="22"/>
      <c r="E10" s="22" t="s">
        <v>29</v>
      </c>
    </row>
    <row r="11" spans="2:5" s="4" customFormat="1" ht="15" customHeight="1">
      <c r="B11" s="3"/>
      <c r="C11" s="3"/>
      <c r="D11" s="3"/>
      <c r="E11" s="33"/>
    </row>
    <row r="12" spans="2:5" s="4" customFormat="1" ht="15" customHeight="1">
      <c r="B12" s="55">
        <v>1</v>
      </c>
      <c r="C12" s="37" t="s">
        <v>30</v>
      </c>
      <c r="D12" s="37"/>
      <c r="E12" s="34">
        <f>ROUND('Detail Costs'!S34,-3)</f>
        <v>736000</v>
      </c>
    </row>
    <row r="13" spans="2:5" s="4" customFormat="1" ht="15" customHeight="1">
      <c r="B13" s="2"/>
      <c r="C13" s="37"/>
      <c r="D13" s="37"/>
      <c r="E13" s="34"/>
    </row>
    <row r="14" spans="2:8" s="4" customFormat="1" ht="15" customHeight="1">
      <c r="B14" s="55">
        <v>2</v>
      </c>
      <c r="C14" s="37" t="s">
        <v>31</v>
      </c>
      <c r="D14" s="39"/>
      <c r="E14" s="34">
        <f>ROUND('Detail Costs'!S56,-3)</f>
        <v>190000</v>
      </c>
      <c r="H14" s="42"/>
    </row>
    <row r="15" spans="2:5" s="4" customFormat="1" ht="15" customHeight="1">
      <c r="B15" s="2"/>
      <c r="C15" s="37"/>
      <c r="D15" s="37"/>
      <c r="E15" s="34"/>
    </row>
    <row r="16" spans="2:8" s="4" customFormat="1" ht="15" customHeight="1">
      <c r="B16" s="55">
        <v>3.01</v>
      </c>
      <c r="C16" s="37" t="s">
        <v>33</v>
      </c>
      <c r="D16" s="40"/>
      <c r="E16" s="34">
        <f>ROUND('Detail Costs'!S60,-3)</f>
        <v>93000</v>
      </c>
      <c r="H16" s="42"/>
    </row>
    <row r="17" spans="2:5" s="4" customFormat="1" ht="15" customHeight="1">
      <c r="B17" s="2"/>
      <c r="C17" s="37"/>
      <c r="D17" s="37"/>
      <c r="E17" s="34"/>
    </row>
    <row r="18" spans="2:8" s="4" customFormat="1" ht="15" customHeight="1">
      <c r="B18" s="55">
        <v>3.02</v>
      </c>
      <c r="C18" s="37" t="s">
        <v>32</v>
      </c>
      <c r="D18" s="40"/>
      <c r="E18" s="34">
        <f>ROUND('Detail Costs'!S61,-3)</f>
        <v>0</v>
      </c>
      <c r="H18" s="42"/>
    </row>
    <row r="19" spans="2:5" s="4" customFormat="1" ht="15" customHeight="1">
      <c r="B19" s="2"/>
      <c r="C19" s="3"/>
      <c r="D19" s="3"/>
      <c r="E19" s="34"/>
    </row>
    <row r="20" spans="2:5" s="4" customFormat="1" ht="15" customHeight="1">
      <c r="B20" s="55">
        <v>3.03</v>
      </c>
      <c r="C20" s="37" t="s">
        <v>36</v>
      </c>
      <c r="D20" s="40"/>
      <c r="E20" s="34">
        <f>ROUND('Detail Costs'!S62,-3)</f>
        <v>0</v>
      </c>
    </row>
    <row r="21" spans="2:5" s="4" customFormat="1" ht="15" customHeight="1">
      <c r="B21" s="2"/>
      <c r="C21" s="3"/>
      <c r="D21" s="3"/>
      <c r="E21" s="34"/>
    </row>
    <row r="22" spans="2:5" s="4" customFormat="1" ht="21.75" customHeight="1">
      <c r="B22" s="28"/>
      <c r="C22" s="28" t="s">
        <v>34</v>
      </c>
      <c r="D22" s="28"/>
      <c r="E22" s="31">
        <f>SUM(E12:E20)</f>
        <v>1019000</v>
      </c>
    </row>
    <row r="23" spans="2:5" s="4" customFormat="1" ht="15" customHeight="1">
      <c r="B23" s="2"/>
      <c r="C23" s="37"/>
      <c r="D23" s="37"/>
      <c r="E23" s="34"/>
    </row>
    <row r="24" spans="2:9" s="4" customFormat="1" ht="15" customHeight="1">
      <c r="B24" s="2">
        <v>4.01</v>
      </c>
      <c r="C24" s="37" t="s">
        <v>15</v>
      </c>
      <c r="D24" s="38">
        <f>E24/E22</f>
        <v>0.25024533856722275</v>
      </c>
      <c r="E24" s="34">
        <f>ROUND('Detail Costs'!U65,-3)</f>
        <v>255000</v>
      </c>
      <c r="H24" s="42"/>
      <c r="I24" s="43"/>
    </row>
    <row r="25" spans="2:5" s="4" customFormat="1" ht="15" customHeight="1">
      <c r="B25" s="2"/>
      <c r="C25" s="3"/>
      <c r="D25" s="3"/>
      <c r="E25" s="34"/>
    </row>
    <row r="26" spans="2:5" s="4" customFormat="1" ht="21.75" customHeight="1">
      <c r="B26" s="28"/>
      <c r="C26" s="28" t="s">
        <v>28</v>
      </c>
      <c r="D26" s="28"/>
      <c r="E26" s="31">
        <f>SUM(E22:E25)</f>
        <v>1274000</v>
      </c>
    </row>
    <row r="27" s="4" customFormat="1" ht="11.25">
      <c r="E27" s="14"/>
    </row>
    <row r="28" spans="2:5" s="4" customFormat="1" ht="11.25">
      <c r="B28" s="30"/>
      <c r="E28" s="14"/>
    </row>
    <row r="29" s="4" customFormat="1" ht="11.25">
      <c r="E29" s="14"/>
    </row>
    <row r="30" s="4" customFormat="1" ht="11.25">
      <c r="E30" s="14"/>
    </row>
    <row r="31" s="4" customFormat="1" ht="11.25">
      <c r="E31" s="14"/>
    </row>
    <row r="32" s="4" customFormat="1" ht="11.25">
      <c r="E32" s="14"/>
    </row>
    <row r="33" s="4" customFormat="1" ht="11.25">
      <c r="E33" s="14"/>
    </row>
    <row r="34" s="4" customFormat="1" ht="11.25">
      <c r="E34" s="14"/>
    </row>
    <row r="35" s="4" customFormat="1" ht="11.25">
      <c r="E35" s="14"/>
    </row>
    <row r="36" s="4" customFormat="1" ht="11.25">
      <c r="E36" s="14"/>
    </row>
    <row r="37" s="4" customFormat="1" ht="11.25">
      <c r="E37" s="14"/>
    </row>
    <row r="38" s="4" customFormat="1" ht="11.25">
      <c r="E38" s="14"/>
    </row>
    <row r="39" s="4" customFormat="1" ht="11.25">
      <c r="E39" s="14"/>
    </row>
    <row r="40" s="4" customFormat="1" ht="11.25">
      <c r="E40" s="14"/>
    </row>
    <row r="41" s="4" customFormat="1" ht="11.25">
      <c r="E41" s="14"/>
    </row>
    <row r="42" s="4" customFormat="1" ht="11.25">
      <c r="E42" s="14"/>
    </row>
    <row r="43" s="4" customFormat="1" ht="11.25">
      <c r="E43" s="14"/>
    </row>
    <row r="44" s="4" customFormat="1" ht="11.25">
      <c r="E44" s="14"/>
    </row>
    <row r="45" s="4" customFormat="1" ht="11.25">
      <c r="E45" s="14"/>
    </row>
    <row r="46" s="4" customFormat="1" ht="11.25">
      <c r="E46" s="14"/>
    </row>
    <row r="47" s="4" customFormat="1" ht="11.25">
      <c r="E47" s="14"/>
    </row>
    <row r="48" s="4" customFormat="1" ht="11.25">
      <c r="E48" s="14"/>
    </row>
    <row r="49" s="4" customFormat="1" ht="11.25">
      <c r="E49" s="14"/>
    </row>
    <row r="50" s="4" customFormat="1" ht="11.25">
      <c r="E50" s="14"/>
    </row>
    <row r="51" s="4" customFormat="1" ht="11.25">
      <c r="E51" s="14"/>
    </row>
    <row r="52" s="4" customFormat="1" ht="11.25">
      <c r="E52" s="14"/>
    </row>
    <row r="53" s="4" customFormat="1" ht="11.25">
      <c r="E53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2"/>
  <sheetViews>
    <sheetView tabSelected="1" zoomScale="90" zoomScaleNormal="90" zoomScalePageLayoutView="0" workbookViewId="0" topLeftCell="A1">
      <selection activeCell="K6" sqref="K6"/>
    </sheetView>
  </sheetViews>
  <sheetFormatPr defaultColWidth="9.33203125" defaultRowHeight="11.25"/>
  <cols>
    <col min="1" max="1" width="4.83203125" style="1" customWidth="1"/>
    <col min="2" max="2" width="8.33203125" style="1" customWidth="1"/>
    <col min="3" max="3" width="10.5" style="1" customWidth="1"/>
    <col min="4" max="4" width="46" style="1" customWidth="1"/>
    <col min="5" max="5" width="25.16015625" style="1" customWidth="1"/>
    <col min="6" max="6" width="10" style="1" customWidth="1"/>
    <col min="7" max="7" width="8.33203125" style="44" bestFit="1" customWidth="1"/>
    <col min="8" max="8" width="10.16015625" style="1" customWidth="1"/>
    <col min="9" max="9" width="7.83203125" style="1" customWidth="1"/>
    <col min="10" max="10" width="10.66015625" style="1" customWidth="1"/>
    <col min="11" max="11" width="9.83203125" style="1" customWidth="1"/>
    <col min="12" max="12" width="9.66015625" style="1" customWidth="1"/>
    <col min="13" max="13" width="13.83203125" style="1" customWidth="1"/>
    <col min="14" max="14" width="15" style="1" customWidth="1"/>
    <col min="15" max="15" width="7.83203125" style="1" customWidth="1"/>
    <col min="16" max="16" width="9.5" style="1" customWidth="1"/>
    <col min="17" max="17" width="11.83203125" style="1" customWidth="1"/>
    <col min="18" max="18" width="12.83203125" style="1" customWidth="1"/>
    <col min="19" max="19" width="14.16015625" style="1" customWidth="1"/>
    <col min="20" max="20" width="14.66015625" style="1" customWidth="1"/>
    <col min="21" max="21" width="14.16015625" style="1" customWidth="1"/>
    <col min="22" max="22" width="14.66015625" style="1" customWidth="1"/>
    <col min="23" max="23" width="11.33203125" style="1" customWidth="1"/>
    <col min="24" max="24" width="9.33203125" style="1" customWidth="1"/>
    <col min="25" max="25" width="9.83203125" style="1" customWidth="1"/>
    <col min="26" max="16384" width="9.33203125" style="1" customWidth="1"/>
  </cols>
  <sheetData>
    <row r="1" spans="1:17" ht="11.25">
      <c r="A1" s="1" t="str">
        <f ca="1">CELL("filename",A1)</f>
        <v>U:\YVR\307071\00895_YEMR_ClintonCrk\02_Rpts\11_Eng-Tech_Rpt_and_Studies\307071-00895-00-WR-REP-0001_Rev0\Excel and CAD files\Appendix 3\Clinton OPEX\[307071-00895-Clinton Creek LCCA-Replace DS4 Armouring.xls]Detail Costs</v>
      </c>
      <c r="E1" s="5"/>
      <c r="Q1" s="44"/>
    </row>
    <row r="2" spans="5:25" ht="11.25">
      <c r="E2" s="5"/>
      <c r="Q2" s="44"/>
      <c r="Y2" s="6"/>
    </row>
    <row r="3" spans="2:25" ht="12.75">
      <c r="B3" s="7" t="s">
        <v>59</v>
      </c>
      <c r="E3" s="5"/>
      <c r="Q3" s="44"/>
      <c r="X3" s="5"/>
      <c r="Y3" s="6"/>
    </row>
    <row r="4" spans="5:25" ht="11.25">
      <c r="E4" s="5"/>
      <c r="Q4" s="44"/>
      <c r="X4" s="5"/>
      <c r="Y4" s="32"/>
    </row>
    <row r="5" spans="2:22" ht="15.75" customHeight="1">
      <c r="B5" s="15"/>
      <c r="C5" s="18" t="s">
        <v>7</v>
      </c>
      <c r="D5" s="8" t="s">
        <v>97</v>
      </c>
      <c r="E5" s="21" t="s">
        <v>9</v>
      </c>
      <c r="F5" s="53">
        <v>41726</v>
      </c>
      <c r="G5" s="61"/>
      <c r="H5" s="10"/>
      <c r="N5" s="23"/>
      <c r="P5" s="23"/>
      <c r="Q5" s="44"/>
      <c r="S5" s="23"/>
      <c r="V5" s="23"/>
    </row>
    <row r="6" spans="2:17" ht="22.5">
      <c r="B6" s="16"/>
      <c r="C6" s="19" t="s">
        <v>8</v>
      </c>
      <c r="D6" s="76" t="s">
        <v>98</v>
      </c>
      <c r="E6" s="24" t="s">
        <v>25</v>
      </c>
      <c r="F6" s="54" t="s">
        <v>65</v>
      </c>
      <c r="G6" s="61"/>
      <c r="H6" s="10"/>
      <c r="Q6" s="44"/>
    </row>
    <row r="7" spans="2:17" ht="15.75" customHeight="1">
      <c r="B7" s="16"/>
      <c r="C7" s="19" t="s">
        <v>12</v>
      </c>
      <c r="D7" s="9" t="s">
        <v>64</v>
      </c>
      <c r="E7" s="24" t="s">
        <v>10</v>
      </c>
      <c r="F7" s="54" t="s">
        <v>66</v>
      </c>
      <c r="G7" s="61"/>
      <c r="H7" s="10"/>
      <c r="K7" s="71"/>
      <c r="L7" s="72"/>
      <c r="M7" s="1" t="s">
        <v>62</v>
      </c>
      <c r="Q7" s="44"/>
    </row>
    <row r="8" spans="2:17" ht="15.75" customHeight="1">
      <c r="B8" s="17"/>
      <c r="C8" s="20" t="s">
        <v>11</v>
      </c>
      <c r="D8" s="11"/>
      <c r="E8" s="24" t="s">
        <v>13</v>
      </c>
      <c r="F8" s="78">
        <v>0</v>
      </c>
      <c r="G8" s="61"/>
      <c r="H8" s="10"/>
      <c r="K8" s="71"/>
      <c r="L8" s="73"/>
      <c r="Q8" s="44"/>
    </row>
    <row r="9" ht="11.25">
      <c r="Q9" s="44"/>
    </row>
    <row r="10" spans="2:25" s="12" customFormat="1" ht="54.75" customHeight="1">
      <c r="B10" s="22" t="s">
        <v>43</v>
      </c>
      <c r="C10" s="22" t="s">
        <v>14</v>
      </c>
      <c r="D10" s="22" t="s">
        <v>2</v>
      </c>
      <c r="E10" s="22" t="s">
        <v>4</v>
      </c>
      <c r="F10" s="22" t="s">
        <v>3</v>
      </c>
      <c r="G10" s="22" t="s">
        <v>1</v>
      </c>
      <c r="H10" s="22" t="s">
        <v>0</v>
      </c>
      <c r="I10" s="22" t="s">
        <v>16</v>
      </c>
      <c r="J10" s="22" t="s">
        <v>18</v>
      </c>
      <c r="K10" s="22" t="s">
        <v>17</v>
      </c>
      <c r="L10" s="22" t="s">
        <v>19</v>
      </c>
      <c r="M10" s="22" t="s">
        <v>78</v>
      </c>
      <c r="N10" s="22" t="s">
        <v>79</v>
      </c>
      <c r="O10" s="22" t="s">
        <v>5</v>
      </c>
      <c r="P10" s="22" t="s">
        <v>20</v>
      </c>
      <c r="Q10" s="22" t="s">
        <v>24</v>
      </c>
      <c r="R10" s="22" t="s">
        <v>23</v>
      </c>
      <c r="S10" s="22" t="s">
        <v>35</v>
      </c>
      <c r="T10" s="22" t="s">
        <v>21</v>
      </c>
      <c r="U10" s="22" t="s">
        <v>22</v>
      </c>
      <c r="V10" s="22" t="s">
        <v>6</v>
      </c>
      <c r="W10" s="22"/>
      <c r="X10" s="22"/>
      <c r="Y10" s="22"/>
    </row>
    <row r="11" spans="2:25" s="4" customFormat="1" ht="4.5" customHeight="1">
      <c r="B11" s="45"/>
      <c r="C11" s="45"/>
      <c r="D11" s="45"/>
      <c r="E11" s="45"/>
      <c r="F11" s="46"/>
      <c r="G11" s="62"/>
      <c r="H11" s="46"/>
      <c r="I11" s="46"/>
      <c r="J11" s="46"/>
      <c r="K11" s="46"/>
      <c r="L11" s="46"/>
      <c r="M11" s="46"/>
      <c r="N11" s="46"/>
      <c r="O11" s="46"/>
      <c r="P11" s="46"/>
      <c r="Q11" s="47"/>
      <c r="R11" s="46"/>
      <c r="S11" s="46"/>
      <c r="T11" s="47"/>
      <c r="U11" s="46"/>
      <c r="V11" s="46"/>
      <c r="W11" s="45"/>
      <c r="X11" s="60"/>
      <c r="Y11" s="45"/>
    </row>
    <row r="12" spans="2:25" s="4" customFormat="1" ht="11.25">
      <c r="B12" s="49" t="s">
        <v>38</v>
      </c>
      <c r="C12" s="45"/>
      <c r="D12" s="45"/>
      <c r="E12" s="45"/>
      <c r="F12" s="46"/>
      <c r="G12" s="62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46"/>
      <c r="S12" s="46"/>
      <c r="T12" s="47"/>
      <c r="U12" s="46"/>
      <c r="V12" s="46"/>
      <c r="W12" s="45"/>
      <c r="X12" s="60"/>
      <c r="Y12" s="45"/>
    </row>
    <row r="13" spans="2:25" s="4" customFormat="1" ht="4.5" customHeight="1">
      <c r="B13" s="45"/>
      <c r="C13" s="45"/>
      <c r="D13" s="45"/>
      <c r="E13" s="45"/>
      <c r="F13" s="46"/>
      <c r="G13" s="62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6"/>
      <c r="S13" s="46"/>
      <c r="T13" s="47"/>
      <c r="U13" s="46"/>
      <c r="V13" s="46"/>
      <c r="W13" s="45"/>
      <c r="X13" s="60"/>
      <c r="Y13" s="45"/>
    </row>
    <row r="14" spans="1:25" s="4" customFormat="1" ht="11.25">
      <c r="A14" s="50">
        <v>1.01</v>
      </c>
      <c r="B14" s="3"/>
      <c r="C14" s="37"/>
      <c r="D14" s="37"/>
      <c r="E14" s="37"/>
      <c r="F14" s="33"/>
      <c r="G14" s="57"/>
      <c r="H14" s="13"/>
      <c r="I14" s="13">
        <f aca="true" t="shared" si="0" ref="I14:I28">F14*H14</f>
        <v>0</v>
      </c>
      <c r="J14" s="13">
        <f aca="true" t="shared" si="1" ref="J14:J27">I14*$L$8</f>
        <v>0</v>
      </c>
      <c r="K14" s="13"/>
      <c r="L14" s="13">
        <f aca="true" t="shared" si="2" ref="L14:L28">F14*K14</f>
        <v>0</v>
      </c>
      <c r="M14" s="13"/>
      <c r="N14" s="13">
        <f aca="true" t="shared" si="3" ref="N14:N28">F14*M14</f>
        <v>0</v>
      </c>
      <c r="O14" s="13"/>
      <c r="P14" s="13">
        <f aca="true" t="shared" si="4" ref="P14:P28">F14*O14</f>
        <v>0</v>
      </c>
      <c r="Q14" s="38"/>
      <c r="R14" s="13">
        <f aca="true" t="shared" si="5" ref="R14:R28">(J14+L14+N14+P14)*Q14</f>
        <v>0</v>
      </c>
      <c r="S14" s="13">
        <f aca="true" t="shared" si="6" ref="S14:S28">J14+L14+N14+P14+R14</f>
        <v>0</v>
      </c>
      <c r="T14" s="38"/>
      <c r="U14" s="13">
        <f aca="true" t="shared" si="7" ref="U14:U28">S14*T14</f>
        <v>0</v>
      </c>
      <c r="V14" s="13">
        <f aca="true" t="shared" si="8" ref="V14:V28">S14+U14</f>
        <v>0</v>
      </c>
      <c r="W14" s="3"/>
      <c r="X14" s="58"/>
      <c r="Y14" s="3"/>
    </row>
    <row r="15" spans="1:25" s="4" customFormat="1" ht="23.25" customHeight="1">
      <c r="A15" s="50">
        <v>1.02</v>
      </c>
      <c r="B15" s="3"/>
      <c r="C15" s="37"/>
      <c r="D15" s="59" t="s">
        <v>69</v>
      </c>
      <c r="E15" s="74" t="s">
        <v>88</v>
      </c>
      <c r="F15" s="65">
        <v>10</v>
      </c>
      <c r="G15" s="57" t="s">
        <v>76</v>
      </c>
      <c r="H15" s="13"/>
      <c r="I15" s="13">
        <f t="shared" si="0"/>
        <v>0</v>
      </c>
      <c r="J15" s="13">
        <f t="shared" si="1"/>
        <v>0</v>
      </c>
      <c r="K15" s="13"/>
      <c r="L15" s="13">
        <f t="shared" si="2"/>
        <v>0</v>
      </c>
      <c r="M15" s="63">
        <f>((10*9361.68)+(0*28763.28))*2/F15</f>
        <v>18723.36</v>
      </c>
      <c r="N15" s="13">
        <f t="shared" si="3"/>
        <v>187233.6</v>
      </c>
      <c r="O15" s="13"/>
      <c r="P15" s="13">
        <f t="shared" si="4"/>
        <v>0</v>
      </c>
      <c r="Q15" s="38"/>
      <c r="R15" s="13">
        <f t="shared" si="5"/>
        <v>0</v>
      </c>
      <c r="S15" s="13">
        <f t="shared" si="6"/>
        <v>187233.6</v>
      </c>
      <c r="T15" s="38">
        <v>0.25</v>
      </c>
      <c r="U15" s="13">
        <f t="shared" si="7"/>
        <v>46808.4</v>
      </c>
      <c r="V15" s="13">
        <f t="shared" si="8"/>
        <v>234042</v>
      </c>
      <c r="W15" s="3"/>
      <c r="X15" s="58"/>
      <c r="Y15" s="3"/>
    </row>
    <row r="16" spans="1:25" s="4" customFormat="1" ht="11.25">
      <c r="A16" s="50">
        <v>1.03</v>
      </c>
      <c r="B16" s="3"/>
      <c r="C16" s="37"/>
      <c r="D16" s="56"/>
      <c r="E16" s="37"/>
      <c r="F16" s="65"/>
      <c r="G16" s="57"/>
      <c r="H16" s="13"/>
      <c r="I16" s="13">
        <f t="shared" si="0"/>
        <v>0</v>
      </c>
      <c r="J16" s="13">
        <f t="shared" si="1"/>
        <v>0</v>
      </c>
      <c r="K16" s="13"/>
      <c r="L16" s="13">
        <f t="shared" si="2"/>
        <v>0</v>
      </c>
      <c r="M16" s="13"/>
      <c r="N16" s="13">
        <f t="shared" si="3"/>
        <v>0</v>
      </c>
      <c r="O16" s="13"/>
      <c r="P16" s="13">
        <f t="shared" si="4"/>
        <v>0</v>
      </c>
      <c r="Q16" s="38"/>
      <c r="R16" s="13">
        <f t="shared" si="5"/>
        <v>0</v>
      </c>
      <c r="S16" s="13">
        <f t="shared" si="6"/>
        <v>0</v>
      </c>
      <c r="T16" s="38"/>
      <c r="U16" s="13">
        <f t="shared" si="7"/>
        <v>0</v>
      </c>
      <c r="V16" s="13">
        <f t="shared" si="8"/>
        <v>0</v>
      </c>
      <c r="W16" s="3"/>
      <c r="X16" s="58"/>
      <c r="Y16" s="3"/>
    </row>
    <row r="17" spans="1:25" s="4" customFormat="1" ht="11.25">
      <c r="A17" s="50">
        <v>1.04</v>
      </c>
      <c r="B17" s="3"/>
      <c r="C17" s="37"/>
      <c r="D17" s="59" t="s">
        <v>89</v>
      </c>
      <c r="E17" s="37"/>
      <c r="F17" s="65"/>
      <c r="G17" s="57"/>
      <c r="H17" s="13"/>
      <c r="I17" s="13">
        <f t="shared" si="0"/>
        <v>0</v>
      </c>
      <c r="J17" s="13">
        <f t="shared" si="1"/>
        <v>0</v>
      </c>
      <c r="K17" s="13"/>
      <c r="L17" s="13">
        <f t="shared" si="2"/>
        <v>0</v>
      </c>
      <c r="M17" s="13"/>
      <c r="N17" s="13">
        <f t="shared" si="3"/>
        <v>0</v>
      </c>
      <c r="O17" s="13"/>
      <c r="P17" s="13">
        <f t="shared" si="4"/>
        <v>0</v>
      </c>
      <c r="Q17" s="38"/>
      <c r="R17" s="13">
        <f t="shared" si="5"/>
        <v>0</v>
      </c>
      <c r="S17" s="13">
        <f t="shared" si="6"/>
        <v>0</v>
      </c>
      <c r="T17" s="38"/>
      <c r="U17" s="13">
        <f t="shared" si="7"/>
        <v>0</v>
      </c>
      <c r="V17" s="13">
        <f t="shared" si="8"/>
        <v>0</v>
      </c>
      <c r="W17" s="3"/>
      <c r="X17" s="58"/>
      <c r="Y17" s="3"/>
    </row>
    <row r="18" spans="1:25" s="4" customFormat="1" ht="33.75">
      <c r="A18" s="50">
        <v>1.05</v>
      </c>
      <c r="B18" s="3"/>
      <c r="C18" s="37"/>
      <c r="D18" s="56" t="s">
        <v>90</v>
      </c>
      <c r="E18" s="37" t="s">
        <v>77</v>
      </c>
      <c r="F18" s="65">
        <v>3400</v>
      </c>
      <c r="G18" s="57" t="s">
        <v>73</v>
      </c>
      <c r="H18" s="13"/>
      <c r="I18" s="13">
        <f t="shared" si="0"/>
        <v>0</v>
      </c>
      <c r="J18" s="13">
        <f t="shared" si="1"/>
        <v>0</v>
      </c>
      <c r="K18" s="13"/>
      <c r="L18" s="13">
        <f t="shared" si="2"/>
        <v>0</v>
      </c>
      <c r="M18" s="63">
        <f>10.04+63.88+39.93+5.51+20.34</f>
        <v>139.7</v>
      </c>
      <c r="N18" s="13">
        <f t="shared" si="3"/>
        <v>474979.99999999994</v>
      </c>
      <c r="O18" s="13"/>
      <c r="P18" s="13">
        <f t="shared" si="4"/>
        <v>0</v>
      </c>
      <c r="Q18" s="38"/>
      <c r="R18" s="13">
        <f t="shared" si="5"/>
        <v>0</v>
      </c>
      <c r="S18" s="13">
        <f t="shared" si="6"/>
        <v>474979.99999999994</v>
      </c>
      <c r="T18" s="38">
        <v>0.25</v>
      </c>
      <c r="U18" s="13">
        <f t="shared" si="7"/>
        <v>118744.99999999999</v>
      </c>
      <c r="V18" s="13">
        <f t="shared" si="8"/>
        <v>593724.9999999999</v>
      </c>
      <c r="W18" s="3"/>
      <c r="X18" s="58"/>
      <c r="Y18" s="3"/>
    </row>
    <row r="19" spans="1:25" s="4" customFormat="1" ht="11.25">
      <c r="A19" s="50">
        <v>1.06</v>
      </c>
      <c r="B19" s="3"/>
      <c r="C19" s="37"/>
      <c r="D19" s="56" t="s">
        <v>95</v>
      </c>
      <c r="E19" s="37" t="s">
        <v>91</v>
      </c>
      <c r="F19" s="65">
        <v>3000</v>
      </c>
      <c r="G19" s="57" t="s">
        <v>73</v>
      </c>
      <c r="H19" s="13"/>
      <c r="I19" s="13">
        <f t="shared" si="0"/>
        <v>0</v>
      </c>
      <c r="J19" s="13">
        <f>I19*$L$8</f>
        <v>0</v>
      </c>
      <c r="K19" s="13"/>
      <c r="L19" s="13">
        <f t="shared" si="2"/>
        <v>0</v>
      </c>
      <c r="M19" s="63">
        <v>5.22</v>
      </c>
      <c r="N19" s="13">
        <f t="shared" si="3"/>
        <v>15660</v>
      </c>
      <c r="O19" s="13"/>
      <c r="P19" s="13">
        <f t="shared" si="4"/>
        <v>0</v>
      </c>
      <c r="Q19" s="38"/>
      <c r="R19" s="13">
        <f t="shared" si="5"/>
        <v>0</v>
      </c>
      <c r="S19" s="13">
        <f t="shared" si="6"/>
        <v>15660</v>
      </c>
      <c r="T19" s="38">
        <v>0.25</v>
      </c>
      <c r="U19" s="13">
        <f t="shared" si="7"/>
        <v>3915</v>
      </c>
      <c r="V19" s="13">
        <f t="shared" si="8"/>
        <v>19575</v>
      </c>
      <c r="W19" s="3"/>
      <c r="X19" s="58"/>
      <c r="Y19" s="3"/>
    </row>
    <row r="20" spans="1:25" s="4" customFormat="1" ht="11.25">
      <c r="A20" s="50">
        <v>1.07</v>
      </c>
      <c r="B20" s="3"/>
      <c r="C20" s="37"/>
      <c r="D20" s="56"/>
      <c r="E20" s="37"/>
      <c r="F20" s="65"/>
      <c r="G20" s="57"/>
      <c r="H20" s="13"/>
      <c r="I20" s="13">
        <f t="shared" si="0"/>
        <v>0</v>
      </c>
      <c r="J20" s="13">
        <f t="shared" si="1"/>
        <v>0</v>
      </c>
      <c r="K20" s="13"/>
      <c r="L20" s="13">
        <f t="shared" si="2"/>
        <v>0</v>
      </c>
      <c r="M20" s="13"/>
      <c r="N20" s="13">
        <f t="shared" si="3"/>
        <v>0</v>
      </c>
      <c r="O20" s="13"/>
      <c r="P20" s="13">
        <f t="shared" si="4"/>
        <v>0</v>
      </c>
      <c r="Q20" s="38"/>
      <c r="R20" s="13">
        <f t="shared" si="5"/>
        <v>0</v>
      </c>
      <c r="S20" s="13">
        <f t="shared" si="6"/>
        <v>0</v>
      </c>
      <c r="T20" s="38"/>
      <c r="U20" s="13">
        <f t="shared" si="7"/>
        <v>0</v>
      </c>
      <c r="V20" s="13">
        <f t="shared" si="8"/>
        <v>0</v>
      </c>
      <c r="W20" s="3"/>
      <c r="X20" s="58"/>
      <c r="Y20" s="3"/>
    </row>
    <row r="21" spans="1:25" s="4" customFormat="1" ht="11.25">
      <c r="A21" s="50">
        <v>1.08</v>
      </c>
      <c r="B21" s="3"/>
      <c r="C21" s="37"/>
      <c r="D21" s="59" t="s">
        <v>82</v>
      </c>
      <c r="E21" s="37"/>
      <c r="F21" s="65"/>
      <c r="G21" s="57"/>
      <c r="H21" s="13"/>
      <c r="I21" s="13">
        <f aca="true" t="shared" si="9" ref="I21:I27">F21*H21</f>
        <v>0</v>
      </c>
      <c r="J21" s="13">
        <f t="shared" si="1"/>
        <v>0</v>
      </c>
      <c r="K21" s="13"/>
      <c r="L21" s="13">
        <f aca="true" t="shared" si="10" ref="L21:L27">F21*K21</f>
        <v>0</v>
      </c>
      <c r="M21" s="13"/>
      <c r="N21" s="13">
        <f aca="true" t="shared" si="11" ref="N21:N27">F21*M21</f>
        <v>0</v>
      </c>
      <c r="O21" s="13"/>
      <c r="P21" s="13">
        <f aca="true" t="shared" si="12" ref="P21:P27">F21*O21</f>
        <v>0</v>
      </c>
      <c r="Q21" s="38"/>
      <c r="R21" s="13">
        <f aca="true" t="shared" si="13" ref="R21:R27">(J21+L21+N21+P21)*Q21</f>
        <v>0</v>
      </c>
      <c r="S21" s="13">
        <f aca="true" t="shared" si="14" ref="S21:S27">J21+L21+N21+P21+R21</f>
        <v>0</v>
      </c>
      <c r="T21" s="38"/>
      <c r="U21" s="13">
        <f aca="true" t="shared" si="15" ref="U21:U27">S21*T21</f>
        <v>0</v>
      </c>
      <c r="V21" s="13">
        <f aca="true" t="shared" si="16" ref="V21:V27">S21+U21</f>
        <v>0</v>
      </c>
      <c r="W21" s="3"/>
      <c r="X21" s="58"/>
      <c r="Y21" s="3"/>
    </row>
    <row r="22" spans="1:25" s="4" customFormat="1" ht="11.25">
      <c r="A22" s="50">
        <v>1.09</v>
      </c>
      <c r="B22" s="3"/>
      <c r="C22" s="37"/>
      <c r="D22" s="56" t="s">
        <v>83</v>
      </c>
      <c r="E22" s="37" t="s">
        <v>92</v>
      </c>
      <c r="F22" s="65">
        <v>1</v>
      </c>
      <c r="G22" s="57" t="s">
        <v>76</v>
      </c>
      <c r="H22" s="13"/>
      <c r="I22" s="13">
        <f t="shared" si="9"/>
        <v>0</v>
      </c>
      <c r="J22" s="13">
        <f t="shared" si="1"/>
        <v>0</v>
      </c>
      <c r="K22" s="13"/>
      <c r="L22" s="13">
        <f t="shared" si="10"/>
        <v>0</v>
      </c>
      <c r="M22" s="63">
        <v>26000</v>
      </c>
      <c r="N22" s="13">
        <f t="shared" si="11"/>
        <v>26000</v>
      </c>
      <c r="O22" s="13"/>
      <c r="P22" s="13">
        <f t="shared" si="12"/>
        <v>0</v>
      </c>
      <c r="Q22" s="38"/>
      <c r="R22" s="13">
        <f t="shared" si="13"/>
        <v>0</v>
      </c>
      <c r="S22" s="13">
        <f t="shared" si="14"/>
        <v>26000</v>
      </c>
      <c r="T22" s="38">
        <v>0.25</v>
      </c>
      <c r="U22" s="13">
        <f t="shared" si="15"/>
        <v>6500</v>
      </c>
      <c r="V22" s="13">
        <f t="shared" si="16"/>
        <v>32500</v>
      </c>
      <c r="W22" s="3"/>
      <c r="X22" s="58"/>
      <c r="Y22" s="3"/>
    </row>
    <row r="23" spans="1:25" s="4" customFormat="1" ht="11.25">
      <c r="A23" s="50">
        <v>1.09</v>
      </c>
      <c r="B23" s="3"/>
      <c r="C23" s="37"/>
      <c r="D23" s="56"/>
      <c r="E23" s="37"/>
      <c r="F23" s="65"/>
      <c r="G23" s="57"/>
      <c r="H23" s="13"/>
      <c r="I23" s="13">
        <f t="shared" si="9"/>
        <v>0</v>
      </c>
      <c r="J23" s="13">
        <f t="shared" si="1"/>
        <v>0</v>
      </c>
      <c r="K23" s="13"/>
      <c r="L23" s="13">
        <f t="shared" si="10"/>
        <v>0</v>
      </c>
      <c r="M23" s="77"/>
      <c r="N23" s="13">
        <f t="shared" si="11"/>
        <v>0</v>
      </c>
      <c r="O23" s="13"/>
      <c r="P23" s="13">
        <f t="shared" si="12"/>
        <v>0</v>
      </c>
      <c r="Q23" s="38"/>
      <c r="R23" s="13">
        <f t="shared" si="13"/>
        <v>0</v>
      </c>
      <c r="S23" s="13">
        <f t="shared" si="14"/>
        <v>0</v>
      </c>
      <c r="T23" s="38"/>
      <c r="U23" s="13">
        <f t="shared" si="15"/>
        <v>0</v>
      </c>
      <c r="V23" s="13">
        <f t="shared" si="16"/>
        <v>0</v>
      </c>
      <c r="W23" s="3"/>
      <c r="X23" s="58"/>
      <c r="Y23" s="3"/>
    </row>
    <row r="24" spans="1:25" s="4" customFormat="1" ht="11.25">
      <c r="A24" s="50">
        <v>1.1</v>
      </c>
      <c r="B24" s="3"/>
      <c r="C24" s="37"/>
      <c r="D24" s="59" t="s">
        <v>99</v>
      </c>
      <c r="E24" s="37"/>
      <c r="F24" s="65"/>
      <c r="G24" s="57"/>
      <c r="H24" s="13"/>
      <c r="I24" s="13">
        <f t="shared" si="9"/>
        <v>0</v>
      </c>
      <c r="J24" s="13">
        <f t="shared" si="1"/>
        <v>0</v>
      </c>
      <c r="K24" s="13"/>
      <c r="L24" s="13">
        <f t="shared" si="10"/>
        <v>0</v>
      </c>
      <c r="M24" s="77"/>
      <c r="N24" s="13">
        <f t="shared" si="11"/>
        <v>0</v>
      </c>
      <c r="O24" s="13"/>
      <c r="P24" s="13">
        <f t="shared" si="12"/>
        <v>0</v>
      </c>
      <c r="Q24" s="38"/>
      <c r="R24" s="13">
        <f t="shared" si="13"/>
        <v>0</v>
      </c>
      <c r="S24" s="13">
        <f t="shared" si="14"/>
        <v>0</v>
      </c>
      <c r="T24" s="38"/>
      <c r="U24" s="13">
        <f t="shared" si="15"/>
        <v>0</v>
      </c>
      <c r="V24" s="13">
        <f t="shared" si="16"/>
        <v>0</v>
      </c>
      <c r="W24" s="3"/>
      <c r="X24" s="58"/>
      <c r="Y24" s="3"/>
    </row>
    <row r="25" spans="1:25" s="4" customFormat="1" ht="67.5">
      <c r="A25" s="50">
        <v>1.11</v>
      </c>
      <c r="B25" s="3"/>
      <c r="C25" s="37"/>
      <c r="D25" s="56" t="s">
        <v>100</v>
      </c>
      <c r="E25" s="37" t="s">
        <v>101</v>
      </c>
      <c r="F25" s="65">
        <v>1</v>
      </c>
      <c r="G25" s="57" t="s">
        <v>76</v>
      </c>
      <c r="H25" s="13"/>
      <c r="I25" s="13">
        <f t="shared" si="9"/>
        <v>0</v>
      </c>
      <c r="J25" s="13">
        <f t="shared" si="1"/>
        <v>0</v>
      </c>
      <c r="K25" s="13"/>
      <c r="L25" s="13">
        <f t="shared" si="10"/>
        <v>0</v>
      </c>
      <c r="M25" s="77">
        <f>19200+(20*30.4*0.5)+(2*30.4*0.5*100)</f>
        <v>22544</v>
      </c>
      <c r="N25" s="13">
        <f t="shared" si="11"/>
        <v>22544</v>
      </c>
      <c r="O25" s="13"/>
      <c r="P25" s="13">
        <f t="shared" si="12"/>
        <v>0</v>
      </c>
      <c r="Q25" s="38"/>
      <c r="R25" s="13">
        <f t="shared" si="13"/>
        <v>0</v>
      </c>
      <c r="S25" s="13">
        <f t="shared" si="14"/>
        <v>22544</v>
      </c>
      <c r="T25" s="38">
        <v>0.25</v>
      </c>
      <c r="U25" s="13">
        <f t="shared" si="15"/>
        <v>5636</v>
      </c>
      <c r="V25" s="13">
        <f t="shared" si="16"/>
        <v>28180</v>
      </c>
      <c r="W25" s="3"/>
      <c r="X25" s="58"/>
      <c r="Y25" s="3"/>
    </row>
    <row r="26" spans="1:25" s="4" customFormat="1" ht="11.25">
      <c r="A26" s="50">
        <v>1.12</v>
      </c>
      <c r="B26" s="3"/>
      <c r="C26" s="37"/>
      <c r="D26" s="56" t="s">
        <v>102</v>
      </c>
      <c r="E26" s="37"/>
      <c r="F26" s="65">
        <v>1</v>
      </c>
      <c r="G26" s="57" t="s">
        <v>103</v>
      </c>
      <c r="H26" s="13"/>
      <c r="I26" s="13">
        <f t="shared" si="9"/>
        <v>0</v>
      </c>
      <c r="J26" s="13">
        <f t="shared" si="1"/>
        <v>0</v>
      </c>
      <c r="K26" s="13"/>
      <c r="L26" s="13">
        <f t="shared" si="10"/>
        <v>0</v>
      </c>
      <c r="M26" s="77">
        <v>3000</v>
      </c>
      <c r="N26" s="13">
        <f t="shared" si="11"/>
        <v>3000</v>
      </c>
      <c r="O26" s="13"/>
      <c r="P26" s="13">
        <f t="shared" si="12"/>
        <v>0</v>
      </c>
      <c r="Q26" s="38"/>
      <c r="R26" s="13">
        <f t="shared" si="13"/>
        <v>0</v>
      </c>
      <c r="S26" s="13">
        <f t="shared" si="14"/>
        <v>3000</v>
      </c>
      <c r="T26" s="38">
        <v>0.25</v>
      </c>
      <c r="U26" s="13">
        <f t="shared" si="15"/>
        <v>750</v>
      </c>
      <c r="V26" s="13">
        <f t="shared" si="16"/>
        <v>3750</v>
      </c>
      <c r="W26" s="3"/>
      <c r="X26" s="58"/>
      <c r="Y26" s="3"/>
    </row>
    <row r="27" spans="1:25" s="4" customFormat="1" ht="11.25">
      <c r="A27" s="50">
        <v>1.13</v>
      </c>
      <c r="B27" s="3"/>
      <c r="C27" s="37"/>
      <c r="D27" s="56" t="s">
        <v>104</v>
      </c>
      <c r="E27" s="37"/>
      <c r="F27" s="65">
        <v>20</v>
      </c>
      <c r="G27" s="57" t="s">
        <v>76</v>
      </c>
      <c r="H27" s="13"/>
      <c r="I27" s="13">
        <f t="shared" si="9"/>
        <v>0</v>
      </c>
      <c r="J27" s="13">
        <f t="shared" si="1"/>
        <v>0</v>
      </c>
      <c r="K27" s="13"/>
      <c r="L27" s="13">
        <f t="shared" si="10"/>
        <v>0</v>
      </c>
      <c r="M27" s="77">
        <v>300</v>
      </c>
      <c r="N27" s="13">
        <f t="shared" si="11"/>
        <v>6000</v>
      </c>
      <c r="O27" s="13"/>
      <c r="P27" s="13">
        <f t="shared" si="12"/>
        <v>0</v>
      </c>
      <c r="Q27" s="38"/>
      <c r="R27" s="13">
        <f t="shared" si="13"/>
        <v>0</v>
      </c>
      <c r="S27" s="13">
        <f t="shared" si="14"/>
        <v>6000</v>
      </c>
      <c r="T27" s="38">
        <v>0.25</v>
      </c>
      <c r="U27" s="13">
        <f t="shared" si="15"/>
        <v>1500</v>
      </c>
      <c r="V27" s="13">
        <f t="shared" si="16"/>
        <v>7500</v>
      </c>
      <c r="W27" s="3"/>
      <c r="X27" s="58"/>
      <c r="Y27" s="3"/>
    </row>
    <row r="28" spans="1:25" s="4" customFormat="1" ht="11.25">
      <c r="A28" s="50">
        <v>1.1</v>
      </c>
      <c r="B28" s="3"/>
      <c r="C28" s="37"/>
      <c r="D28" s="56"/>
      <c r="E28" s="37"/>
      <c r="F28" s="65"/>
      <c r="G28" s="57"/>
      <c r="H28" s="13"/>
      <c r="I28" s="13">
        <f t="shared" si="0"/>
        <v>0</v>
      </c>
      <c r="J28" s="13">
        <f aca="true" t="shared" si="17" ref="J28:J33">I28*$L$8</f>
        <v>0</v>
      </c>
      <c r="K28" s="13"/>
      <c r="L28" s="13">
        <f t="shared" si="2"/>
        <v>0</v>
      </c>
      <c r="M28" s="13"/>
      <c r="N28" s="13">
        <f t="shared" si="3"/>
        <v>0</v>
      </c>
      <c r="O28" s="13"/>
      <c r="P28" s="13">
        <f t="shared" si="4"/>
        <v>0</v>
      </c>
      <c r="Q28" s="38"/>
      <c r="R28" s="13">
        <f t="shared" si="5"/>
        <v>0</v>
      </c>
      <c r="S28" s="13">
        <f t="shared" si="6"/>
        <v>0</v>
      </c>
      <c r="T28" s="38"/>
      <c r="U28" s="13">
        <f t="shared" si="7"/>
        <v>0</v>
      </c>
      <c r="V28" s="13">
        <f t="shared" si="8"/>
        <v>0</v>
      </c>
      <c r="W28" s="3"/>
      <c r="X28" s="58"/>
      <c r="Y28" s="3"/>
    </row>
    <row r="29" spans="1:25" s="4" customFormat="1" ht="33.75">
      <c r="A29" s="50">
        <v>1.11</v>
      </c>
      <c r="B29" s="3"/>
      <c r="C29" s="37"/>
      <c r="D29" s="59" t="s">
        <v>71</v>
      </c>
      <c r="E29" s="37" t="s">
        <v>70</v>
      </c>
      <c r="F29" s="65"/>
      <c r="G29" s="57"/>
      <c r="H29" s="13"/>
      <c r="I29" s="13">
        <f>F29*H29</f>
        <v>0</v>
      </c>
      <c r="J29" s="13">
        <f t="shared" si="17"/>
        <v>0</v>
      </c>
      <c r="K29" s="13"/>
      <c r="L29" s="13">
        <f>F29*K29</f>
        <v>0</v>
      </c>
      <c r="M29" s="13"/>
      <c r="N29" s="13">
        <f>F29*M29</f>
        <v>0</v>
      </c>
      <c r="O29" s="13"/>
      <c r="P29" s="13">
        <f>F29*O29</f>
        <v>0</v>
      </c>
      <c r="Q29" s="38"/>
      <c r="R29" s="13">
        <f>(J29+L29+N29+P29)*Q29</f>
        <v>0</v>
      </c>
      <c r="S29" s="13">
        <f>J29+L29+N29+P29+R29</f>
        <v>0</v>
      </c>
      <c r="T29" s="38"/>
      <c r="U29" s="13">
        <f>S29*T29</f>
        <v>0</v>
      </c>
      <c r="V29" s="13">
        <f>S29+U29</f>
        <v>0</v>
      </c>
      <c r="W29" s="3"/>
      <c r="X29" s="58"/>
      <c r="Y29" s="3"/>
    </row>
    <row r="30" spans="1:25" s="4" customFormat="1" ht="11.25">
      <c r="A30" s="50">
        <v>1.12</v>
      </c>
      <c r="B30" s="3"/>
      <c r="C30" s="37"/>
      <c r="D30" s="56" t="s">
        <v>94</v>
      </c>
      <c r="E30" s="37" t="s">
        <v>72</v>
      </c>
      <c r="F30" s="75">
        <f>F31/27000</f>
        <v>1</v>
      </c>
      <c r="G30" s="57" t="s">
        <v>87</v>
      </c>
      <c r="H30" s="13"/>
      <c r="I30" s="13">
        <f>F30*H30</f>
        <v>0</v>
      </c>
      <c r="J30" s="13">
        <f t="shared" si="17"/>
        <v>0</v>
      </c>
      <c r="K30" s="13"/>
      <c r="L30" s="13">
        <f>F30*K30</f>
        <v>0</v>
      </c>
      <c r="M30" s="66">
        <f>(71.4+100)*4</f>
        <v>685.6</v>
      </c>
      <c r="N30" s="13">
        <f>F30*M30</f>
        <v>685.6</v>
      </c>
      <c r="O30" s="13"/>
      <c r="P30" s="13">
        <f>F30*O30</f>
        <v>0</v>
      </c>
      <c r="Q30" s="38"/>
      <c r="R30" s="13">
        <f>(J30+L30+N30+P30)*Q30</f>
        <v>0</v>
      </c>
      <c r="S30" s="13">
        <f>J30+L30+N30+P30+R30</f>
        <v>685.6</v>
      </c>
      <c r="T30" s="38">
        <v>0.25</v>
      </c>
      <c r="U30" s="13">
        <f>S30*T30</f>
        <v>171.4</v>
      </c>
      <c r="V30" s="13">
        <f>S30+U30</f>
        <v>857</v>
      </c>
      <c r="W30" s="58"/>
      <c r="X30" s="58"/>
      <c r="Y30" s="3"/>
    </row>
    <row r="31" spans="1:25" s="4" customFormat="1" ht="11.25">
      <c r="A31" s="50">
        <v>1.13</v>
      </c>
      <c r="B31" s="3"/>
      <c r="C31" s="37"/>
      <c r="D31" s="68"/>
      <c r="E31" s="4" t="s">
        <v>81</v>
      </c>
      <c r="F31" s="13">
        <f>27000</f>
        <v>27000</v>
      </c>
      <c r="G31" s="70" t="s">
        <v>75</v>
      </c>
      <c r="H31" s="13"/>
      <c r="I31" s="13">
        <f>F31*H31</f>
        <v>0</v>
      </c>
      <c r="J31" s="13">
        <f t="shared" si="17"/>
        <v>0</v>
      </c>
      <c r="K31" s="13"/>
      <c r="L31" s="13">
        <f>F31*K31</f>
        <v>0</v>
      </c>
      <c r="M31" s="13"/>
      <c r="N31" s="13">
        <f>F31*M31</f>
        <v>0</v>
      </c>
      <c r="O31" s="13"/>
      <c r="P31" s="13">
        <f>F31*O31</f>
        <v>0</v>
      </c>
      <c r="Q31" s="38"/>
      <c r="R31" s="13">
        <f>(J31+L31+N31+P31)*Q31</f>
        <v>0</v>
      </c>
      <c r="S31" s="13">
        <f>J31+L31+N31+P31+R31</f>
        <v>0</v>
      </c>
      <c r="T31" s="38"/>
      <c r="U31" s="13">
        <f>S31*T31</f>
        <v>0</v>
      </c>
      <c r="V31" s="13">
        <f>S31+U31</f>
        <v>0</v>
      </c>
      <c r="W31" s="3"/>
      <c r="X31" s="58"/>
      <c r="Y31" s="3"/>
    </row>
    <row r="32" spans="1:25" s="4" customFormat="1" ht="11.25">
      <c r="A32" s="50">
        <v>1.14</v>
      </c>
      <c r="B32" s="3"/>
      <c r="C32" s="37"/>
      <c r="D32" s="68"/>
      <c r="E32" s="37"/>
      <c r="F32" s="69"/>
      <c r="G32" s="70"/>
      <c r="H32" s="13"/>
      <c r="I32" s="13">
        <f>F32*H32</f>
        <v>0</v>
      </c>
      <c r="J32" s="13">
        <f t="shared" si="17"/>
        <v>0</v>
      </c>
      <c r="K32" s="13"/>
      <c r="L32" s="13">
        <f>F32*K32</f>
        <v>0</v>
      </c>
      <c r="M32" s="13"/>
      <c r="N32" s="13">
        <f>F32*M32</f>
        <v>0</v>
      </c>
      <c r="O32" s="13"/>
      <c r="P32" s="13">
        <f>F32*O32</f>
        <v>0</v>
      </c>
      <c r="Q32" s="38"/>
      <c r="R32" s="13">
        <f>(J32+L32+N32+P32)*Q32</f>
        <v>0</v>
      </c>
      <c r="S32" s="13">
        <f>J32+L32+N32+P32+R32</f>
        <v>0</v>
      </c>
      <c r="T32" s="38"/>
      <c r="U32" s="13">
        <f>S32*T32</f>
        <v>0</v>
      </c>
      <c r="V32" s="13">
        <f>S32+U32</f>
        <v>0</v>
      </c>
      <c r="W32" s="3"/>
      <c r="X32" s="58"/>
      <c r="Y32" s="3"/>
    </row>
    <row r="33" spans="1:25" s="4" customFormat="1" ht="11.25">
      <c r="A33" s="50">
        <v>1.15</v>
      </c>
      <c r="B33" s="3"/>
      <c r="C33" s="37"/>
      <c r="D33" s="56"/>
      <c r="E33" s="37"/>
      <c r="F33" s="65"/>
      <c r="G33" s="57"/>
      <c r="H33" s="13"/>
      <c r="I33" s="13">
        <f>F33*H33</f>
        <v>0</v>
      </c>
      <c r="J33" s="13">
        <f t="shared" si="17"/>
        <v>0</v>
      </c>
      <c r="K33" s="13"/>
      <c r="L33" s="13">
        <f>F33*K33</f>
        <v>0</v>
      </c>
      <c r="M33" s="13"/>
      <c r="N33" s="13">
        <f>F33*M33</f>
        <v>0</v>
      </c>
      <c r="O33" s="13"/>
      <c r="P33" s="13">
        <f>F33*O33</f>
        <v>0</v>
      </c>
      <c r="Q33" s="38"/>
      <c r="R33" s="13">
        <f>(J33+L33+N33+P33)*Q33</f>
        <v>0</v>
      </c>
      <c r="S33" s="13">
        <f>J33+L33+N33+P33+R33</f>
        <v>0</v>
      </c>
      <c r="T33" s="38"/>
      <c r="U33" s="13">
        <f>S33*T33</f>
        <v>0</v>
      </c>
      <c r="V33" s="13">
        <f>S33+U33</f>
        <v>0</v>
      </c>
      <c r="W33" s="3"/>
      <c r="X33" s="58"/>
      <c r="Y33" s="3"/>
    </row>
    <row r="34" spans="2:25" s="14" customFormat="1" ht="24.75" customHeight="1">
      <c r="B34" s="79" t="s">
        <v>37</v>
      </c>
      <c r="C34" s="79"/>
      <c r="D34" s="79"/>
      <c r="E34" s="79"/>
      <c r="F34" s="79"/>
      <c r="G34" s="79"/>
      <c r="H34" s="79"/>
      <c r="I34" s="36">
        <f>SUM(I14:I33)</f>
        <v>0</v>
      </c>
      <c r="J34" s="36">
        <f>SUM(J14:J33)</f>
        <v>0</v>
      </c>
      <c r="K34" s="48"/>
      <c r="L34" s="36">
        <f>SUM(L14:L33)</f>
        <v>0</v>
      </c>
      <c r="M34" s="48"/>
      <c r="N34" s="36">
        <f>SUM(N14:N33)</f>
        <v>736103.2</v>
      </c>
      <c r="O34" s="48"/>
      <c r="P34" s="36">
        <f>SUM(P14:P33)</f>
        <v>0</v>
      </c>
      <c r="Q34" s="41">
        <f>R34/S34</f>
        <v>0</v>
      </c>
      <c r="R34" s="36">
        <f>SUM(R14:R33)</f>
        <v>0</v>
      </c>
      <c r="S34" s="36">
        <f>SUM(S14:S33)</f>
        <v>736103.2</v>
      </c>
      <c r="T34" s="41">
        <f>U34/S34</f>
        <v>0.25</v>
      </c>
      <c r="U34" s="36">
        <f>SUM(U14:U33)</f>
        <v>184025.8</v>
      </c>
      <c r="V34" s="36">
        <f>SUM(V14:V33)</f>
        <v>920128.9999999999</v>
      </c>
      <c r="W34" s="4"/>
      <c r="X34" s="1"/>
      <c r="Y34" s="4"/>
    </row>
    <row r="35" spans="2:25" s="4" customFormat="1" ht="4.5" customHeight="1">
      <c r="B35" s="45"/>
      <c r="C35" s="45"/>
      <c r="D35" s="45"/>
      <c r="E35" s="45"/>
      <c r="F35" s="46"/>
      <c r="G35" s="62"/>
      <c r="H35" s="46"/>
      <c r="I35" s="46"/>
      <c r="J35" s="46"/>
      <c r="K35" s="46"/>
      <c r="L35" s="46"/>
      <c r="M35" s="46"/>
      <c r="N35" s="46"/>
      <c r="O35" s="46"/>
      <c r="P35" s="46"/>
      <c r="Q35" s="47"/>
      <c r="R35" s="46"/>
      <c r="S35" s="46"/>
      <c r="T35" s="47"/>
      <c r="U35" s="46"/>
      <c r="V35" s="46"/>
      <c r="W35" s="45"/>
      <c r="X35" s="60"/>
      <c r="Y35" s="45"/>
    </row>
    <row r="36" spans="2:25" s="4" customFormat="1" ht="11.25">
      <c r="B36" s="49" t="s">
        <v>45</v>
      </c>
      <c r="C36" s="45"/>
      <c r="D36" s="45"/>
      <c r="E36" s="45"/>
      <c r="F36" s="46"/>
      <c r="G36" s="62"/>
      <c r="H36" s="46"/>
      <c r="I36" s="46"/>
      <c r="J36" s="46"/>
      <c r="K36" s="46"/>
      <c r="L36" s="46"/>
      <c r="M36" s="46"/>
      <c r="N36" s="46"/>
      <c r="O36" s="46"/>
      <c r="P36" s="46"/>
      <c r="Q36" s="47"/>
      <c r="R36" s="46"/>
      <c r="S36" s="46"/>
      <c r="T36" s="47"/>
      <c r="U36" s="46"/>
      <c r="V36" s="46"/>
      <c r="W36" s="45"/>
      <c r="X36" s="60"/>
      <c r="Y36" s="45"/>
    </row>
    <row r="37" spans="2:25" s="4" customFormat="1" ht="4.5" customHeight="1">
      <c r="B37" s="45"/>
      <c r="C37" s="45"/>
      <c r="D37" s="45"/>
      <c r="E37" s="45"/>
      <c r="F37" s="46"/>
      <c r="G37" s="62"/>
      <c r="H37" s="46"/>
      <c r="I37" s="46"/>
      <c r="J37" s="46"/>
      <c r="K37" s="46"/>
      <c r="L37" s="46"/>
      <c r="M37" s="46"/>
      <c r="N37" s="46"/>
      <c r="O37" s="46"/>
      <c r="P37" s="46"/>
      <c r="Q37" s="47"/>
      <c r="R37" s="46"/>
      <c r="S37" s="46"/>
      <c r="T37" s="47"/>
      <c r="U37" s="46"/>
      <c r="V37" s="46"/>
      <c r="W37" s="45"/>
      <c r="X37" s="60"/>
      <c r="Y37" s="45"/>
    </row>
    <row r="38" spans="1:25" s="4" customFormat="1" ht="45">
      <c r="A38" s="50">
        <v>2.01</v>
      </c>
      <c r="B38" s="3"/>
      <c r="C38" s="3"/>
      <c r="D38" s="3" t="s">
        <v>61</v>
      </c>
      <c r="E38" s="3" t="s">
        <v>96</v>
      </c>
      <c r="F38" s="65">
        <f>35+6+34+10+9</f>
        <v>94</v>
      </c>
      <c r="G38" s="57" t="s">
        <v>68</v>
      </c>
      <c r="H38" s="13"/>
      <c r="I38" s="13">
        <f>F38*H38</f>
        <v>0</v>
      </c>
      <c r="J38" s="13">
        <f aca="true" t="shared" si="18" ref="J38:J55">I38*$L$8</f>
        <v>0</v>
      </c>
      <c r="K38" s="13"/>
      <c r="L38" s="13">
        <f>F38*K38</f>
        <v>0</v>
      </c>
      <c r="M38" s="66">
        <f>105+150</f>
        <v>255</v>
      </c>
      <c r="N38" s="13">
        <f>F38*M38</f>
        <v>23970</v>
      </c>
      <c r="O38" s="13"/>
      <c r="P38" s="13">
        <f>F38*O38</f>
        <v>0</v>
      </c>
      <c r="Q38" s="38"/>
      <c r="R38" s="13">
        <f>(J38+L38+N38+P38)*Q38</f>
        <v>0</v>
      </c>
      <c r="S38" s="13">
        <f>J38+L38+N38+P38+R38</f>
        <v>23970</v>
      </c>
      <c r="T38" s="38">
        <v>0.25</v>
      </c>
      <c r="U38" s="13">
        <f>S38*T38</f>
        <v>5992.5</v>
      </c>
      <c r="V38" s="13">
        <f>S38+U38</f>
        <v>29962.5</v>
      </c>
      <c r="W38" s="3"/>
      <c r="X38" s="58"/>
      <c r="Y38" s="3"/>
    </row>
    <row r="39" spans="1:25" s="4" customFormat="1" ht="22.5">
      <c r="A39" s="50">
        <v>2.02</v>
      </c>
      <c r="B39" s="3"/>
      <c r="C39" s="3"/>
      <c r="D39" s="37" t="s">
        <v>46</v>
      </c>
      <c r="E39" s="3"/>
      <c r="F39" s="67">
        <v>0.03</v>
      </c>
      <c r="G39" s="57"/>
      <c r="H39" s="13"/>
      <c r="I39" s="13">
        <f>F39*H39</f>
        <v>0</v>
      </c>
      <c r="J39" s="13">
        <f t="shared" si="18"/>
        <v>0</v>
      </c>
      <c r="K39" s="13"/>
      <c r="L39" s="13">
        <f>F39*K39</f>
        <v>0</v>
      </c>
      <c r="M39" s="63">
        <f>V34</f>
        <v>920128.9999999999</v>
      </c>
      <c r="N39" s="13">
        <f>F39*M39</f>
        <v>27603.869999999995</v>
      </c>
      <c r="O39" s="13"/>
      <c r="P39" s="13">
        <f>F39*O39</f>
        <v>0</v>
      </c>
      <c r="Q39" s="38"/>
      <c r="R39" s="13">
        <f>(J39+L39+N39+P39)*Q39</f>
        <v>0</v>
      </c>
      <c r="S39" s="13">
        <f>J39+L39+N39+P39+R39</f>
        <v>27603.869999999995</v>
      </c>
      <c r="T39" s="38">
        <v>0.25</v>
      </c>
      <c r="U39" s="13">
        <f>S39*T39</f>
        <v>6900.967499999999</v>
      </c>
      <c r="V39" s="13">
        <f>S39+U39</f>
        <v>34504.837499999994</v>
      </c>
      <c r="W39" s="3"/>
      <c r="X39" s="58"/>
      <c r="Y39" s="3"/>
    </row>
    <row r="40" spans="1:25" s="4" customFormat="1" ht="11.25">
      <c r="A40" s="50">
        <v>2.03</v>
      </c>
      <c r="B40" s="3"/>
      <c r="C40" s="3"/>
      <c r="D40" s="3" t="s">
        <v>67</v>
      </c>
      <c r="E40" s="3" t="s">
        <v>80</v>
      </c>
      <c r="F40" s="65"/>
      <c r="G40" s="57"/>
      <c r="H40" s="13"/>
      <c r="I40" s="13">
        <f aca="true" t="shared" si="19" ref="I40:I55">F40*H40</f>
        <v>0</v>
      </c>
      <c r="J40" s="13">
        <f t="shared" si="18"/>
        <v>0</v>
      </c>
      <c r="K40" s="13"/>
      <c r="L40" s="13">
        <f aca="true" t="shared" si="20" ref="L40:L55">F40*K40</f>
        <v>0</v>
      </c>
      <c r="M40" s="66"/>
      <c r="N40" s="13">
        <f aca="true" t="shared" si="21" ref="N40:N55">F40*M40</f>
        <v>0</v>
      </c>
      <c r="O40" s="13"/>
      <c r="P40" s="13">
        <f aca="true" t="shared" si="22" ref="P40:P55">F40*O40</f>
        <v>0</v>
      </c>
      <c r="Q40" s="38"/>
      <c r="R40" s="13">
        <f aca="true" t="shared" si="23" ref="R40:R55">(J40+L40+N40+P40)*Q40</f>
        <v>0</v>
      </c>
      <c r="S40" s="13">
        <f aca="true" t="shared" si="24" ref="S40:S55">J40+L40+N40+P40+R40</f>
        <v>0</v>
      </c>
      <c r="T40" s="38"/>
      <c r="U40" s="13">
        <f aca="true" t="shared" si="25" ref="U40:U55">S40*T40</f>
        <v>0</v>
      </c>
      <c r="V40" s="13">
        <f aca="true" t="shared" si="26" ref="V40:V55">S40+U40</f>
        <v>0</v>
      </c>
      <c r="W40" s="3"/>
      <c r="X40" s="58"/>
      <c r="Y40" s="3"/>
    </row>
    <row r="41" spans="1:25" s="4" customFormat="1" ht="11.25">
      <c r="A41" s="50">
        <v>2.04</v>
      </c>
      <c r="B41" s="3"/>
      <c r="C41" s="3"/>
      <c r="D41" s="3" t="s">
        <v>85</v>
      </c>
      <c r="E41" s="3" t="s">
        <v>80</v>
      </c>
      <c r="F41" s="65"/>
      <c r="G41" s="57"/>
      <c r="H41" s="13"/>
      <c r="I41" s="13">
        <f>F41*H41</f>
        <v>0</v>
      </c>
      <c r="J41" s="13">
        <f>I41*$L$8</f>
        <v>0</v>
      </c>
      <c r="K41" s="13"/>
      <c r="L41" s="13">
        <f>F41*K41</f>
        <v>0</v>
      </c>
      <c r="M41" s="66"/>
      <c r="N41" s="13">
        <f>F41*M41</f>
        <v>0</v>
      </c>
      <c r="O41" s="13"/>
      <c r="P41" s="13">
        <f>F41*O41</f>
        <v>0</v>
      </c>
      <c r="Q41" s="38"/>
      <c r="R41" s="13">
        <f>(J41+L41+N41+P41)*Q41</f>
        <v>0</v>
      </c>
      <c r="S41" s="13">
        <f>J41+L41+N41+P41+R41</f>
        <v>0</v>
      </c>
      <c r="T41" s="38"/>
      <c r="U41" s="13">
        <f>S41*T41</f>
        <v>0</v>
      </c>
      <c r="V41" s="13">
        <f>S41+U41</f>
        <v>0</v>
      </c>
      <c r="W41" s="3"/>
      <c r="X41" s="58"/>
      <c r="Y41" s="3"/>
    </row>
    <row r="42" spans="1:25" s="4" customFormat="1" ht="11.25">
      <c r="A42" s="50">
        <v>2.05</v>
      </c>
      <c r="B42" s="3"/>
      <c r="C42" s="3"/>
      <c r="D42" s="3" t="s">
        <v>47</v>
      </c>
      <c r="E42" s="3" t="s">
        <v>80</v>
      </c>
      <c r="F42" s="65"/>
      <c r="G42" s="2"/>
      <c r="H42" s="13"/>
      <c r="I42" s="13">
        <f t="shared" si="19"/>
        <v>0</v>
      </c>
      <c r="J42" s="13">
        <f t="shared" si="18"/>
        <v>0</v>
      </c>
      <c r="K42" s="13"/>
      <c r="L42" s="13">
        <f t="shared" si="20"/>
        <v>0</v>
      </c>
      <c r="M42" s="13"/>
      <c r="N42" s="13">
        <f t="shared" si="21"/>
        <v>0</v>
      </c>
      <c r="O42" s="13"/>
      <c r="P42" s="13">
        <f t="shared" si="22"/>
        <v>0</v>
      </c>
      <c r="Q42" s="38"/>
      <c r="R42" s="13">
        <f t="shared" si="23"/>
        <v>0</v>
      </c>
      <c r="S42" s="13">
        <f t="shared" si="24"/>
        <v>0</v>
      </c>
      <c r="T42" s="38"/>
      <c r="U42" s="13">
        <f t="shared" si="25"/>
        <v>0</v>
      </c>
      <c r="V42" s="13">
        <f t="shared" si="26"/>
        <v>0</v>
      </c>
      <c r="W42" s="3"/>
      <c r="X42" s="58"/>
      <c r="Y42" s="3"/>
    </row>
    <row r="43" spans="1:25" s="4" customFormat="1" ht="11.25">
      <c r="A43" s="50">
        <v>2.06</v>
      </c>
      <c r="B43" s="3"/>
      <c r="C43" s="3"/>
      <c r="D43" s="3" t="s">
        <v>48</v>
      </c>
      <c r="E43" s="3" t="s">
        <v>80</v>
      </c>
      <c r="F43" s="65"/>
      <c r="G43" s="2"/>
      <c r="H43" s="13"/>
      <c r="I43" s="13">
        <f t="shared" si="19"/>
        <v>0</v>
      </c>
      <c r="J43" s="13">
        <f t="shared" si="18"/>
        <v>0</v>
      </c>
      <c r="K43" s="13"/>
      <c r="L43" s="13">
        <f t="shared" si="20"/>
        <v>0</v>
      </c>
      <c r="M43" s="13"/>
      <c r="N43" s="13">
        <f t="shared" si="21"/>
        <v>0</v>
      </c>
      <c r="O43" s="13"/>
      <c r="P43" s="13">
        <f t="shared" si="22"/>
        <v>0</v>
      </c>
      <c r="Q43" s="38"/>
      <c r="R43" s="13">
        <f t="shared" si="23"/>
        <v>0</v>
      </c>
      <c r="S43" s="13">
        <f t="shared" si="24"/>
        <v>0</v>
      </c>
      <c r="T43" s="38"/>
      <c r="U43" s="13">
        <f t="shared" si="25"/>
        <v>0</v>
      </c>
      <c r="V43" s="13">
        <f t="shared" si="26"/>
        <v>0</v>
      </c>
      <c r="W43" s="3"/>
      <c r="X43" s="58"/>
      <c r="Y43" s="3"/>
    </row>
    <row r="44" spans="1:25" s="4" customFormat="1" ht="11.25">
      <c r="A44" s="50">
        <v>2.07</v>
      </c>
      <c r="B44" s="3"/>
      <c r="C44" s="3"/>
      <c r="D44" s="3" t="s">
        <v>49</v>
      </c>
      <c r="E44" s="3" t="s">
        <v>80</v>
      </c>
      <c r="F44" s="65"/>
      <c r="G44" s="2"/>
      <c r="H44" s="13"/>
      <c r="I44" s="13">
        <f t="shared" si="19"/>
        <v>0</v>
      </c>
      <c r="J44" s="13">
        <f t="shared" si="18"/>
        <v>0</v>
      </c>
      <c r="K44" s="13"/>
      <c r="L44" s="13">
        <f t="shared" si="20"/>
        <v>0</v>
      </c>
      <c r="M44" s="13"/>
      <c r="N44" s="13">
        <f t="shared" si="21"/>
        <v>0</v>
      </c>
      <c r="O44" s="13"/>
      <c r="P44" s="13">
        <f t="shared" si="22"/>
        <v>0</v>
      </c>
      <c r="Q44" s="38"/>
      <c r="R44" s="13">
        <f t="shared" si="23"/>
        <v>0</v>
      </c>
      <c r="S44" s="13">
        <f t="shared" si="24"/>
        <v>0</v>
      </c>
      <c r="T44" s="38"/>
      <c r="U44" s="13">
        <f t="shared" si="25"/>
        <v>0</v>
      </c>
      <c r="V44" s="13">
        <f t="shared" si="26"/>
        <v>0</v>
      </c>
      <c r="W44" s="3"/>
      <c r="X44" s="58"/>
      <c r="Y44" s="3"/>
    </row>
    <row r="45" spans="1:25" s="4" customFormat="1" ht="49.5" customHeight="1">
      <c r="A45" s="50">
        <v>2.08</v>
      </c>
      <c r="B45" s="3"/>
      <c r="C45" s="3"/>
      <c r="D45" s="3" t="s">
        <v>50</v>
      </c>
      <c r="E45" s="3" t="s">
        <v>93</v>
      </c>
      <c r="F45" s="65">
        <f>5+6+10+3</f>
        <v>24</v>
      </c>
      <c r="G45" s="57" t="s">
        <v>74</v>
      </c>
      <c r="H45" s="13"/>
      <c r="I45" s="13">
        <f aca="true" t="shared" si="27" ref="I45:I50">F45*H45</f>
        <v>0</v>
      </c>
      <c r="J45" s="13">
        <f t="shared" si="18"/>
        <v>0</v>
      </c>
      <c r="K45" s="13"/>
      <c r="L45" s="13">
        <f aca="true" t="shared" si="28" ref="L45:L50">F45*K45</f>
        <v>0</v>
      </c>
      <c r="M45" s="63">
        <f>984+(2*80)</f>
        <v>1144</v>
      </c>
      <c r="N45" s="13">
        <f aca="true" t="shared" si="29" ref="N45:N50">F45*M45</f>
        <v>27456</v>
      </c>
      <c r="O45" s="13"/>
      <c r="P45" s="13">
        <f aca="true" t="shared" si="30" ref="P45:P50">F45*O45</f>
        <v>0</v>
      </c>
      <c r="Q45" s="38"/>
      <c r="R45" s="13">
        <f aca="true" t="shared" si="31" ref="R45:R50">(J45+L45+N45+P45)*Q45</f>
        <v>0</v>
      </c>
      <c r="S45" s="13">
        <f aca="true" t="shared" si="32" ref="S45:S50">J45+L45+N45+P45+R45</f>
        <v>27456</v>
      </c>
      <c r="T45" s="38">
        <v>0.25</v>
      </c>
      <c r="U45" s="13">
        <f aca="true" t="shared" si="33" ref="U45:U50">S45*T45</f>
        <v>6864</v>
      </c>
      <c r="V45" s="13">
        <f aca="true" t="shared" si="34" ref="V45:V50">S45+U45</f>
        <v>34320</v>
      </c>
      <c r="W45" s="3"/>
      <c r="X45" s="58"/>
      <c r="Y45" s="3"/>
    </row>
    <row r="46" spans="1:25" s="4" customFormat="1" ht="22.5">
      <c r="A46" s="50">
        <v>2.09</v>
      </c>
      <c r="B46" s="3"/>
      <c r="C46" s="3"/>
      <c r="D46" s="3" t="s">
        <v>50</v>
      </c>
      <c r="E46" s="3" t="s">
        <v>86</v>
      </c>
      <c r="F46" s="65">
        <f>10+3+12+2+9</f>
        <v>36</v>
      </c>
      <c r="G46" s="57" t="s">
        <v>74</v>
      </c>
      <c r="H46" s="13"/>
      <c r="I46" s="13">
        <f t="shared" si="27"/>
        <v>0</v>
      </c>
      <c r="J46" s="13">
        <f>I46*$L$8</f>
        <v>0</v>
      </c>
      <c r="K46" s="13"/>
      <c r="L46" s="13">
        <f t="shared" si="28"/>
        <v>0</v>
      </c>
      <c r="M46" s="63">
        <f>1011.6</f>
        <v>1011.6</v>
      </c>
      <c r="N46" s="13">
        <f t="shared" si="29"/>
        <v>36417.6</v>
      </c>
      <c r="O46" s="13"/>
      <c r="P46" s="13">
        <f t="shared" si="30"/>
        <v>0</v>
      </c>
      <c r="Q46" s="38"/>
      <c r="R46" s="13">
        <f t="shared" si="31"/>
        <v>0</v>
      </c>
      <c r="S46" s="13">
        <f t="shared" si="32"/>
        <v>36417.6</v>
      </c>
      <c r="T46" s="38">
        <v>0.25</v>
      </c>
      <c r="U46" s="13">
        <f t="shared" si="33"/>
        <v>9104.4</v>
      </c>
      <c r="V46" s="13">
        <f t="shared" si="34"/>
        <v>45522</v>
      </c>
      <c r="W46" s="3"/>
      <c r="X46" s="58"/>
      <c r="Y46" s="3"/>
    </row>
    <row r="47" spans="1:25" s="4" customFormat="1" ht="11.25">
      <c r="A47" s="50">
        <v>2.1</v>
      </c>
      <c r="B47" s="3"/>
      <c r="C47" s="3"/>
      <c r="D47" s="3" t="s">
        <v>51</v>
      </c>
      <c r="E47" s="3" t="s">
        <v>80</v>
      </c>
      <c r="F47" s="65"/>
      <c r="G47" s="2"/>
      <c r="H47" s="13"/>
      <c r="I47" s="13">
        <f t="shared" si="27"/>
        <v>0</v>
      </c>
      <c r="J47" s="13">
        <f t="shared" si="18"/>
        <v>0</v>
      </c>
      <c r="K47" s="13"/>
      <c r="L47" s="13">
        <f t="shared" si="28"/>
        <v>0</v>
      </c>
      <c r="M47" s="13"/>
      <c r="N47" s="13">
        <f t="shared" si="29"/>
        <v>0</v>
      </c>
      <c r="O47" s="13"/>
      <c r="P47" s="13">
        <f t="shared" si="30"/>
        <v>0</v>
      </c>
      <c r="Q47" s="38"/>
      <c r="R47" s="13">
        <f t="shared" si="31"/>
        <v>0</v>
      </c>
      <c r="S47" s="13">
        <f t="shared" si="32"/>
        <v>0</v>
      </c>
      <c r="T47" s="38"/>
      <c r="U47" s="13">
        <f t="shared" si="33"/>
        <v>0</v>
      </c>
      <c r="V47" s="13">
        <f t="shared" si="34"/>
        <v>0</v>
      </c>
      <c r="W47" s="3"/>
      <c r="X47" s="58"/>
      <c r="Y47" s="3"/>
    </row>
    <row r="48" spans="1:25" s="4" customFormat="1" ht="11.25">
      <c r="A48" s="50">
        <v>2.11</v>
      </c>
      <c r="B48" s="3"/>
      <c r="C48" s="3"/>
      <c r="D48" s="3" t="s">
        <v>52</v>
      </c>
      <c r="E48" s="3" t="s">
        <v>84</v>
      </c>
      <c r="F48" s="65">
        <v>6</v>
      </c>
      <c r="G48" s="57" t="s">
        <v>87</v>
      </c>
      <c r="H48" s="13"/>
      <c r="I48" s="13">
        <f t="shared" si="27"/>
        <v>0</v>
      </c>
      <c r="J48" s="13">
        <f t="shared" si="18"/>
        <v>0</v>
      </c>
      <c r="K48" s="13"/>
      <c r="L48" s="13">
        <f t="shared" si="28"/>
        <v>0</v>
      </c>
      <c r="M48" s="63">
        <v>9361.68</v>
      </c>
      <c r="N48" s="13">
        <f t="shared" si="29"/>
        <v>56170.08</v>
      </c>
      <c r="O48" s="13"/>
      <c r="P48" s="13">
        <f t="shared" si="30"/>
        <v>0</v>
      </c>
      <c r="Q48" s="38"/>
      <c r="R48" s="13">
        <f t="shared" si="31"/>
        <v>0</v>
      </c>
      <c r="S48" s="13">
        <f t="shared" si="32"/>
        <v>56170.08</v>
      </c>
      <c r="T48" s="38">
        <v>0.25</v>
      </c>
      <c r="U48" s="13">
        <f t="shared" si="33"/>
        <v>14042.52</v>
      </c>
      <c r="V48" s="13">
        <f t="shared" si="34"/>
        <v>70212.6</v>
      </c>
      <c r="W48" s="3"/>
      <c r="X48" s="58"/>
      <c r="Y48" s="3"/>
    </row>
    <row r="49" spans="1:25" s="4" customFormat="1" ht="11.25">
      <c r="A49" s="50">
        <v>2.12</v>
      </c>
      <c r="B49" s="3"/>
      <c r="C49" s="3"/>
      <c r="D49" s="3" t="s">
        <v>53</v>
      </c>
      <c r="E49" s="3" t="s">
        <v>80</v>
      </c>
      <c r="F49" s="65"/>
      <c r="G49" s="2"/>
      <c r="H49" s="13"/>
      <c r="I49" s="13">
        <f t="shared" si="27"/>
        <v>0</v>
      </c>
      <c r="J49" s="13">
        <f t="shared" si="18"/>
        <v>0</v>
      </c>
      <c r="K49" s="13"/>
      <c r="L49" s="13">
        <f t="shared" si="28"/>
        <v>0</v>
      </c>
      <c r="M49" s="13"/>
      <c r="N49" s="13">
        <f t="shared" si="29"/>
        <v>0</v>
      </c>
      <c r="O49" s="13"/>
      <c r="P49" s="13">
        <f t="shared" si="30"/>
        <v>0</v>
      </c>
      <c r="Q49" s="38"/>
      <c r="R49" s="13">
        <f t="shared" si="31"/>
        <v>0</v>
      </c>
      <c r="S49" s="13">
        <f t="shared" si="32"/>
        <v>0</v>
      </c>
      <c r="T49" s="38"/>
      <c r="U49" s="13">
        <f t="shared" si="33"/>
        <v>0</v>
      </c>
      <c r="V49" s="13">
        <f t="shared" si="34"/>
        <v>0</v>
      </c>
      <c r="W49" s="3"/>
      <c r="X49" s="58"/>
      <c r="Y49" s="3"/>
    </row>
    <row r="50" spans="1:25" s="4" customFormat="1" ht="11.25">
      <c r="A50" s="50">
        <v>2.13</v>
      </c>
      <c r="B50" s="3"/>
      <c r="C50" s="3"/>
      <c r="D50" s="3" t="s">
        <v>54</v>
      </c>
      <c r="E50" s="3" t="s">
        <v>80</v>
      </c>
      <c r="F50" s="65"/>
      <c r="G50" s="2"/>
      <c r="H50" s="13"/>
      <c r="I50" s="13">
        <f t="shared" si="27"/>
        <v>0</v>
      </c>
      <c r="J50" s="13">
        <f t="shared" si="18"/>
        <v>0</v>
      </c>
      <c r="K50" s="13"/>
      <c r="L50" s="13">
        <f t="shared" si="28"/>
        <v>0</v>
      </c>
      <c r="M50" s="13"/>
      <c r="N50" s="13">
        <f t="shared" si="29"/>
        <v>0</v>
      </c>
      <c r="O50" s="13"/>
      <c r="P50" s="13">
        <f t="shared" si="30"/>
        <v>0</v>
      </c>
      <c r="Q50" s="38"/>
      <c r="R50" s="13">
        <f t="shared" si="31"/>
        <v>0</v>
      </c>
      <c r="S50" s="13">
        <f t="shared" si="32"/>
        <v>0</v>
      </c>
      <c r="T50" s="38"/>
      <c r="U50" s="13">
        <f t="shared" si="33"/>
        <v>0</v>
      </c>
      <c r="V50" s="13">
        <f t="shared" si="34"/>
        <v>0</v>
      </c>
      <c r="W50" s="3"/>
      <c r="X50" s="58"/>
      <c r="Y50" s="3"/>
    </row>
    <row r="51" spans="1:25" s="4" customFormat="1" ht="11.25">
      <c r="A51" s="50">
        <v>2.14</v>
      </c>
      <c r="B51" s="3"/>
      <c r="C51" s="3"/>
      <c r="D51" s="3" t="s">
        <v>55</v>
      </c>
      <c r="E51" s="3" t="s">
        <v>80</v>
      </c>
      <c r="F51" s="65"/>
      <c r="G51" s="2"/>
      <c r="H51" s="13"/>
      <c r="I51" s="13">
        <f t="shared" si="19"/>
        <v>0</v>
      </c>
      <c r="J51" s="13">
        <f t="shared" si="18"/>
        <v>0</v>
      </c>
      <c r="K51" s="13"/>
      <c r="L51" s="13">
        <f t="shared" si="20"/>
        <v>0</v>
      </c>
      <c r="M51" s="13"/>
      <c r="N51" s="13">
        <f t="shared" si="21"/>
        <v>0</v>
      </c>
      <c r="O51" s="13"/>
      <c r="P51" s="13">
        <f t="shared" si="22"/>
        <v>0</v>
      </c>
      <c r="Q51" s="38"/>
      <c r="R51" s="13">
        <f t="shared" si="23"/>
        <v>0</v>
      </c>
      <c r="S51" s="13">
        <f t="shared" si="24"/>
        <v>0</v>
      </c>
      <c r="T51" s="38"/>
      <c r="U51" s="13">
        <f t="shared" si="25"/>
        <v>0</v>
      </c>
      <c r="V51" s="13">
        <f t="shared" si="26"/>
        <v>0</v>
      </c>
      <c r="W51" s="3"/>
      <c r="X51" s="58"/>
      <c r="Y51" s="3"/>
    </row>
    <row r="52" spans="1:25" s="4" customFormat="1" ht="22.5">
      <c r="A52" s="50">
        <v>2.15</v>
      </c>
      <c r="B52" s="3"/>
      <c r="C52" s="3"/>
      <c r="D52" s="3" t="s">
        <v>56</v>
      </c>
      <c r="E52" s="3"/>
      <c r="F52" s="67">
        <v>0.02</v>
      </c>
      <c r="G52" s="57"/>
      <c r="H52" s="13"/>
      <c r="I52" s="13">
        <f t="shared" si="19"/>
        <v>0</v>
      </c>
      <c r="J52" s="13">
        <f t="shared" si="18"/>
        <v>0</v>
      </c>
      <c r="K52" s="13"/>
      <c r="L52" s="13">
        <f t="shared" si="20"/>
        <v>0</v>
      </c>
      <c r="M52" s="63">
        <f>V34</f>
        <v>920128.9999999999</v>
      </c>
      <c r="N52" s="13">
        <f t="shared" si="21"/>
        <v>18402.579999999998</v>
      </c>
      <c r="O52" s="13"/>
      <c r="P52" s="13">
        <f t="shared" si="22"/>
        <v>0</v>
      </c>
      <c r="Q52" s="38"/>
      <c r="R52" s="13">
        <f t="shared" si="23"/>
        <v>0</v>
      </c>
      <c r="S52" s="13">
        <f t="shared" si="24"/>
        <v>18402.579999999998</v>
      </c>
      <c r="T52" s="38">
        <v>0.25</v>
      </c>
      <c r="U52" s="13">
        <f t="shared" si="25"/>
        <v>4600.6449999999995</v>
      </c>
      <c r="V52" s="13">
        <f t="shared" si="26"/>
        <v>23003.225</v>
      </c>
      <c r="W52" s="3"/>
      <c r="X52" s="58"/>
      <c r="Y52" s="3"/>
    </row>
    <row r="53" spans="1:25" s="4" customFormat="1" ht="22.5">
      <c r="A53" s="50">
        <v>2.16</v>
      </c>
      <c r="B53" s="3"/>
      <c r="C53" s="3"/>
      <c r="D53" s="3" t="s">
        <v>63</v>
      </c>
      <c r="E53" s="3" t="s">
        <v>80</v>
      </c>
      <c r="F53" s="67"/>
      <c r="G53" s="2"/>
      <c r="H53" s="13"/>
      <c r="I53" s="13">
        <f t="shared" si="19"/>
        <v>0</v>
      </c>
      <c r="J53" s="13">
        <f t="shared" si="18"/>
        <v>0</v>
      </c>
      <c r="K53" s="13"/>
      <c r="L53" s="13">
        <f t="shared" si="20"/>
        <v>0</v>
      </c>
      <c r="M53" s="64"/>
      <c r="N53" s="13">
        <f t="shared" si="21"/>
        <v>0</v>
      </c>
      <c r="O53" s="13"/>
      <c r="P53" s="13">
        <f t="shared" si="22"/>
        <v>0</v>
      </c>
      <c r="Q53" s="38"/>
      <c r="R53" s="13">
        <f t="shared" si="23"/>
        <v>0</v>
      </c>
      <c r="S53" s="13">
        <f t="shared" si="24"/>
        <v>0</v>
      </c>
      <c r="T53" s="38"/>
      <c r="U53" s="13">
        <f t="shared" si="25"/>
        <v>0</v>
      </c>
      <c r="V53" s="13">
        <f t="shared" si="26"/>
        <v>0</v>
      </c>
      <c r="W53" s="3"/>
      <c r="X53" s="58"/>
      <c r="Y53" s="3"/>
    </row>
    <row r="54" spans="1:25" s="4" customFormat="1" ht="11.25">
      <c r="A54" s="50">
        <v>2.17</v>
      </c>
      <c r="B54" s="3"/>
      <c r="C54" s="3"/>
      <c r="D54" s="3" t="s">
        <v>57</v>
      </c>
      <c r="E54" s="3" t="s">
        <v>80</v>
      </c>
      <c r="F54" s="65"/>
      <c r="G54" s="2"/>
      <c r="H54" s="13"/>
      <c r="I54" s="13">
        <f t="shared" si="19"/>
        <v>0</v>
      </c>
      <c r="J54" s="13">
        <f t="shared" si="18"/>
        <v>0</v>
      </c>
      <c r="K54" s="13"/>
      <c r="L54" s="13">
        <f t="shared" si="20"/>
        <v>0</v>
      </c>
      <c r="M54" s="13"/>
      <c r="N54" s="13">
        <f t="shared" si="21"/>
        <v>0</v>
      </c>
      <c r="O54" s="13"/>
      <c r="P54" s="13">
        <f t="shared" si="22"/>
        <v>0</v>
      </c>
      <c r="Q54" s="38"/>
      <c r="R54" s="13">
        <f t="shared" si="23"/>
        <v>0</v>
      </c>
      <c r="S54" s="13">
        <f t="shared" si="24"/>
        <v>0</v>
      </c>
      <c r="T54" s="38"/>
      <c r="U54" s="13">
        <f t="shared" si="25"/>
        <v>0</v>
      </c>
      <c r="V54" s="13">
        <f t="shared" si="26"/>
        <v>0</v>
      </c>
      <c r="W54" s="3"/>
      <c r="X54" s="58"/>
      <c r="Y54" s="3"/>
    </row>
    <row r="55" spans="1:25" s="4" customFormat="1" ht="11.25">
      <c r="A55" s="50">
        <v>2.18</v>
      </c>
      <c r="B55" s="3"/>
      <c r="C55" s="3"/>
      <c r="D55" s="3" t="s">
        <v>58</v>
      </c>
      <c r="E55" s="3" t="s">
        <v>80</v>
      </c>
      <c r="F55" s="65"/>
      <c r="G55" s="2"/>
      <c r="H55" s="13"/>
      <c r="I55" s="13">
        <f t="shared" si="19"/>
        <v>0</v>
      </c>
      <c r="J55" s="13">
        <f t="shared" si="18"/>
        <v>0</v>
      </c>
      <c r="K55" s="13"/>
      <c r="L55" s="13">
        <f t="shared" si="20"/>
        <v>0</v>
      </c>
      <c r="M55" s="13"/>
      <c r="N55" s="13">
        <f t="shared" si="21"/>
        <v>0</v>
      </c>
      <c r="O55" s="13"/>
      <c r="P55" s="13">
        <f t="shared" si="22"/>
        <v>0</v>
      </c>
      <c r="Q55" s="38"/>
      <c r="R55" s="13">
        <f t="shared" si="23"/>
        <v>0</v>
      </c>
      <c r="S55" s="13">
        <f t="shared" si="24"/>
        <v>0</v>
      </c>
      <c r="T55" s="38"/>
      <c r="U55" s="13">
        <f t="shared" si="25"/>
        <v>0</v>
      </c>
      <c r="V55" s="13">
        <f t="shared" si="26"/>
        <v>0</v>
      </c>
      <c r="W55" s="3"/>
      <c r="X55" s="58"/>
      <c r="Y55" s="3"/>
    </row>
    <row r="56" spans="2:25" s="14" customFormat="1" ht="24.75" customHeight="1">
      <c r="B56" s="80" t="s">
        <v>39</v>
      </c>
      <c r="C56" s="81"/>
      <c r="D56" s="81"/>
      <c r="E56" s="81"/>
      <c r="F56" s="81"/>
      <c r="G56" s="81"/>
      <c r="H56" s="82"/>
      <c r="I56" s="36">
        <f>SUM(I38:I55)</f>
        <v>0</v>
      </c>
      <c r="J56" s="36">
        <f>SUM(J38:J55)</f>
        <v>0</v>
      </c>
      <c r="K56" s="35"/>
      <c r="L56" s="36">
        <f>SUM(L38:L55)</f>
        <v>0</v>
      </c>
      <c r="M56" s="35"/>
      <c r="N56" s="36">
        <f>SUM(N38:N55)</f>
        <v>190020.12999999998</v>
      </c>
      <c r="O56" s="35"/>
      <c r="P56" s="36">
        <f>SUM(P38:P55)</f>
        <v>0</v>
      </c>
      <c r="Q56" s="41">
        <f>R56/S56</f>
        <v>0</v>
      </c>
      <c r="R56" s="36">
        <f>SUM(R38:R55)</f>
        <v>0</v>
      </c>
      <c r="S56" s="36">
        <f>SUM(S38:S55)</f>
        <v>190020.12999999998</v>
      </c>
      <c r="T56" s="41">
        <f>U56/S56</f>
        <v>0.25</v>
      </c>
      <c r="U56" s="36">
        <f>SUM(U38:U55)</f>
        <v>47505.032499999994</v>
      </c>
      <c r="V56" s="36">
        <f>SUM(V38:V55)</f>
        <v>237525.1625</v>
      </c>
      <c r="W56" s="4"/>
      <c r="X56" s="1"/>
      <c r="Y56" s="4"/>
    </row>
    <row r="57" spans="2:25" s="4" customFormat="1" ht="4.5" customHeight="1">
      <c r="B57" s="45"/>
      <c r="C57" s="45"/>
      <c r="D57" s="45"/>
      <c r="E57" s="45"/>
      <c r="F57" s="46"/>
      <c r="G57" s="62"/>
      <c r="H57" s="46"/>
      <c r="I57" s="46"/>
      <c r="J57" s="46"/>
      <c r="K57" s="46"/>
      <c r="L57" s="46"/>
      <c r="M57" s="46"/>
      <c r="N57" s="46"/>
      <c r="O57" s="46"/>
      <c r="P57" s="46"/>
      <c r="Q57" s="47"/>
      <c r="R57" s="46"/>
      <c r="S57" s="46"/>
      <c r="T57" s="47"/>
      <c r="U57" s="46"/>
      <c r="V57" s="46"/>
      <c r="W57" s="45"/>
      <c r="X57" s="60"/>
      <c r="Y57" s="45"/>
    </row>
    <row r="58" spans="2:25" s="4" customFormat="1" ht="11.25">
      <c r="B58" s="49" t="s">
        <v>40</v>
      </c>
      <c r="C58" s="45"/>
      <c r="D58" s="45"/>
      <c r="E58" s="45"/>
      <c r="F58" s="46"/>
      <c r="G58" s="62"/>
      <c r="H58" s="46"/>
      <c r="I58" s="46"/>
      <c r="J58" s="46"/>
      <c r="K58" s="46"/>
      <c r="L58" s="46"/>
      <c r="M58" s="46"/>
      <c r="N58" s="46"/>
      <c r="O58" s="46"/>
      <c r="P58" s="46"/>
      <c r="Q58" s="47"/>
      <c r="R58" s="46"/>
      <c r="S58" s="46"/>
      <c r="T58" s="47"/>
      <c r="U58" s="46"/>
      <c r="V58" s="46"/>
      <c r="W58" s="45"/>
      <c r="X58" s="60"/>
      <c r="Y58" s="45"/>
    </row>
    <row r="59" spans="2:25" s="4" customFormat="1" ht="4.5" customHeight="1">
      <c r="B59" s="45"/>
      <c r="C59" s="45"/>
      <c r="D59" s="45"/>
      <c r="E59" s="45"/>
      <c r="F59" s="46"/>
      <c r="G59" s="62"/>
      <c r="H59" s="46"/>
      <c r="I59" s="46"/>
      <c r="J59" s="46"/>
      <c r="K59" s="46"/>
      <c r="L59" s="46"/>
      <c r="M59" s="46"/>
      <c r="N59" s="46"/>
      <c r="O59" s="46"/>
      <c r="P59" s="46"/>
      <c r="Q59" s="47"/>
      <c r="R59" s="46"/>
      <c r="S59" s="46"/>
      <c r="T59" s="47"/>
      <c r="U59" s="46"/>
      <c r="V59" s="46"/>
      <c r="W59" s="45"/>
      <c r="X59" s="60"/>
      <c r="Y59" s="45"/>
    </row>
    <row r="60" spans="1:25" s="4" customFormat="1" ht="11.25">
      <c r="A60" s="50">
        <v>3.01</v>
      </c>
      <c r="B60" s="3"/>
      <c r="C60" s="3"/>
      <c r="D60" s="3" t="s">
        <v>42</v>
      </c>
      <c r="E60" s="3"/>
      <c r="F60" s="67">
        <v>0.1</v>
      </c>
      <c r="G60" s="2"/>
      <c r="H60" s="13"/>
      <c r="I60" s="13">
        <f>F60*H60</f>
        <v>0</v>
      </c>
      <c r="J60" s="13">
        <f>I60*$L$8</f>
        <v>0</v>
      </c>
      <c r="K60" s="13"/>
      <c r="L60" s="13">
        <f>F60*K60</f>
        <v>0</v>
      </c>
      <c r="M60" s="66">
        <f>S34+S56</f>
        <v>926123.33</v>
      </c>
      <c r="N60" s="13">
        <f>F60*M60</f>
        <v>92612.333</v>
      </c>
      <c r="O60" s="13"/>
      <c r="P60" s="13">
        <f>F60*O60</f>
        <v>0</v>
      </c>
      <c r="Q60" s="38"/>
      <c r="R60" s="13">
        <f>(J60+L60+N60+P60)*Q60</f>
        <v>0</v>
      </c>
      <c r="S60" s="13">
        <f>J60+L60+N60+P60+R60</f>
        <v>92612.333</v>
      </c>
      <c r="T60" s="38">
        <v>0.25</v>
      </c>
      <c r="U60" s="13">
        <f>S60*T60</f>
        <v>23153.08325</v>
      </c>
      <c r="V60" s="13">
        <f>S60+U60</f>
        <v>115765.41625</v>
      </c>
      <c r="W60" s="3"/>
      <c r="X60" s="58"/>
      <c r="Y60" s="3"/>
    </row>
    <row r="61" spans="1:25" s="4" customFormat="1" ht="11.25">
      <c r="A61" s="50">
        <v>3.02</v>
      </c>
      <c r="B61" s="3"/>
      <c r="C61" s="3"/>
      <c r="D61" s="3" t="s">
        <v>32</v>
      </c>
      <c r="E61" s="3"/>
      <c r="F61" s="13"/>
      <c r="G61" s="2"/>
      <c r="H61" s="13"/>
      <c r="I61" s="13">
        <f>F61*H61</f>
        <v>0</v>
      </c>
      <c r="J61" s="13">
        <f>I61*$L$8</f>
        <v>0</v>
      </c>
      <c r="K61" s="13"/>
      <c r="L61" s="13">
        <f>F61*K61</f>
        <v>0</v>
      </c>
      <c r="M61" s="13"/>
      <c r="N61" s="13">
        <f>F61*M61</f>
        <v>0</v>
      </c>
      <c r="O61" s="13"/>
      <c r="P61" s="13">
        <f>F61*O61</f>
        <v>0</v>
      </c>
      <c r="Q61" s="38"/>
      <c r="R61" s="13">
        <f>(J61+L61+N61+P61)*Q61</f>
        <v>0</v>
      </c>
      <c r="S61" s="13">
        <f>J61+L61+N61+P61+R61</f>
        <v>0</v>
      </c>
      <c r="T61" s="38"/>
      <c r="U61" s="13">
        <f>S61*T61</f>
        <v>0</v>
      </c>
      <c r="V61" s="13">
        <f>S61+U61</f>
        <v>0</v>
      </c>
      <c r="W61" s="3"/>
      <c r="X61" s="58"/>
      <c r="Y61" s="3"/>
    </row>
    <row r="62" spans="1:25" s="4" customFormat="1" ht="11.25">
      <c r="A62" s="50">
        <v>3.03</v>
      </c>
      <c r="B62" s="3"/>
      <c r="C62" s="3"/>
      <c r="D62" s="3" t="s">
        <v>36</v>
      </c>
      <c r="E62" s="3"/>
      <c r="F62" s="13"/>
      <c r="G62" s="2"/>
      <c r="H62" s="13"/>
      <c r="I62" s="13">
        <f>F62*H62</f>
        <v>0</v>
      </c>
      <c r="J62" s="13">
        <f>I62*$L$8</f>
        <v>0</v>
      </c>
      <c r="K62" s="13"/>
      <c r="L62" s="13">
        <f>F62*K62</f>
        <v>0</v>
      </c>
      <c r="M62" s="13"/>
      <c r="N62" s="13">
        <f>F62*M62</f>
        <v>0</v>
      </c>
      <c r="O62" s="13"/>
      <c r="P62" s="13">
        <f>F62*O62</f>
        <v>0</v>
      </c>
      <c r="Q62" s="38"/>
      <c r="R62" s="13">
        <f>(J62+L62+N62+P62)*Q62</f>
        <v>0</v>
      </c>
      <c r="S62" s="13">
        <f>J62+L62+N62+P62+R62</f>
        <v>0</v>
      </c>
      <c r="T62" s="38"/>
      <c r="U62" s="13">
        <f>S62*T62</f>
        <v>0</v>
      </c>
      <c r="V62" s="13">
        <f>S62+U62</f>
        <v>0</v>
      </c>
      <c r="W62" s="3"/>
      <c r="X62" s="58"/>
      <c r="Y62" s="3"/>
    </row>
    <row r="63" spans="2:25" s="14" customFormat="1" ht="24.75" customHeight="1">
      <c r="B63" s="80" t="s">
        <v>41</v>
      </c>
      <c r="C63" s="81"/>
      <c r="D63" s="81"/>
      <c r="E63" s="81"/>
      <c r="F63" s="81"/>
      <c r="G63" s="81"/>
      <c r="H63" s="82"/>
      <c r="I63" s="36">
        <f>SUM(I60:I62)</f>
        <v>0</v>
      </c>
      <c r="J63" s="36">
        <f>SUM(J60:J62)</f>
        <v>0</v>
      </c>
      <c r="K63" s="35"/>
      <c r="L63" s="36">
        <f>SUM(L60:L62)</f>
        <v>0</v>
      </c>
      <c r="M63" s="35"/>
      <c r="N63" s="36">
        <f>SUM(N60:N62)</f>
        <v>92612.333</v>
      </c>
      <c r="O63" s="35"/>
      <c r="P63" s="36">
        <f>SUM(P60:P62)</f>
        <v>0</v>
      </c>
      <c r="Q63" s="41">
        <f>R63/S63</f>
        <v>0</v>
      </c>
      <c r="R63" s="36">
        <f>SUM(R60:R62)</f>
        <v>0</v>
      </c>
      <c r="S63" s="36">
        <f>SUM(S60:S62)</f>
        <v>92612.333</v>
      </c>
      <c r="T63" s="41">
        <f>U63/S63</f>
        <v>0.25</v>
      </c>
      <c r="U63" s="36">
        <f>SUM(U60:U62)</f>
        <v>23153.08325</v>
      </c>
      <c r="V63" s="36">
        <f>SUM(V60:V62)</f>
        <v>115765.41625</v>
      </c>
      <c r="W63" s="4"/>
      <c r="X63" s="1"/>
      <c r="Y63" s="4"/>
    </row>
    <row r="64" spans="7:24" s="4" customFormat="1" ht="11.25">
      <c r="G64" s="12"/>
      <c r="X64" s="1"/>
    </row>
    <row r="65" spans="2:25" s="14" customFormat="1" ht="24.75" customHeight="1">
      <c r="B65" s="80" t="s">
        <v>44</v>
      </c>
      <c r="C65" s="81"/>
      <c r="D65" s="81"/>
      <c r="E65" s="81"/>
      <c r="F65" s="81"/>
      <c r="G65" s="81"/>
      <c r="H65" s="82"/>
      <c r="I65" s="36"/>
      <c r="J65" s="36"/>
      <c r="K65" s="35"/>
      <c r="L65" s="36"/>
      <c r="M65" s="35"/>
      <c r="N65" s="36"/>
      <c r="O65" s="35"/>
      <c r="P65" s="36"/>
      <c r="Q65" s="41"/>
      <c r="R65" s="36"/>
      <c r="S65" s="36">
        <f>S34+S56+S63</f>
        <v>1018735.663</v>
      </c>
      <c r="T65" s="41">
        <f>U65/S65</f>
        <v>0.25</v>
      </c>
      <c r="U65" s="36">
        <f>U34+U56+U63</f>
        <v>254683.91575</v>
      </c>
      <c r="V65" s="36">
        <f>V34+V56+V63</f>
        <v>1273419.5787499999</v>
      </c>
      <c r="W65" s="4"/>
      <c r="X65" s="1"/>
      <c r="Y65" s="4"/>
    </row>
    <row r="66" spans="7:24" s="4" customFormat="1" ht="11.25">
      <c r="G66" s="12"/>
      <c r="X66" s="1"/>
    </row>
    <row r="67" spans="7:24" s="4" customFormat="1" ht="11.25">
      <c r="G67" s="12"/>
      <c r="X67" s="1"/>
    </row>
    <row r="68" spans="3:25" s="4" customFormat="1" ht="11.25">
      <c r="C68" s="1"/>
      <c r="D68" s="1"/>
      <c r="E68" s="1"/>
      <c r="F68" s="1"/>
      <c r="G68" s="4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3:25" s="4" customFormat="1" ht="11.25">
      <c r="C69" s="1"/>
      <c r="D69" s="1"/>
      <c r="E69" s="1"/>
      <c r="F69" s="1"/>
      <c r="G69" s="4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3:25" s="4" customFormat="1" ht="11.25">
      <c r="C70" s="1"/>
      <c r="D70" s="1"/>
      <c r="E70" s="1"/>
      <c r="F70" s="1"/>
      <c r="G70" s="4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7:24" s="4" customFormat="1" ht="11.25">
      <c r="G71" s="12"/>
      <c r="X71" s="1"/>
    </row>
    <row r="72" spans="7:24" s="4" customFormat="1" ht="11.25">
      <c r="G72" s="12"/>
      <c r="X72" s="1"/>
    </row>
    <row r="73" spans="7:24" s="4" customFormat="1" ht="11.25">
      <c r="G73" s="12"/>
      <c r="X73" s="1"/>
    </row>
    <row r="74" spans="7:24" s="4" customFormat="1" ht="11.25">
      <c r="G74" s="12"/>
      <c r="X74" s="1"/>
    </row>
    <row r="75" spans="7:24" s="4" customFormat="1" ht="11.25">
      <c r="G75" s="12"/>
      <c r="X75" s="1"/>
    </row>
    <row r="76" spans="7:24" s="4" customFormat="1" ht="11.25">
      <c r="G76" s="12"/>
      <c r="X76" s="1"/>
    </row>
    <row r="77" spans="7:24" s="4" customFormat="1" ht="11.25">
      <c r="G77" s="12"/>
      <c r="X77" s="1"/>
    </row>
    <row r="78" spans="7:24" s="4" customFormat="1" ht="11.25">
      <c r="G78" s="12"/>
      <c r="X78" s="1"/>
    </row>
    <row r="79" spans="7:24" s="4" customFormat="1" ht="11.25">
      <c r="G79" s="12"/>
      <c r="X79" s="1"/>
    </row>
    <row r="80" spans="7:24" s="4" customFormat="1" ht="11.25">
      <c r="G80" s="12"/>
      <c r="X80" s="1"/>
    </row>
    <row r="81" spans="7:24" s="4" customFormat="1" ht="11.25">
      <c r="G81" s="12"/>
      <c r="X81" s="1"/>
    </row>
    <row r="82" spans="7:24" s="4" customFormat="1" ht="11.25">
      <c r="G82" s="12"/>
      <c r="X82" s="1"/>
    </row>
    <row r="83" spans="7:24" s="4" customFormat="1" ht="11.25">
      <c r="G83" s="12"/>
      <c r="X83" s="1"/>
    </row>
    <row r="84" spans="7:24" s="4" customFormat="1" ht="11.25">
      <c r="G84" s="12"/>
      <c r="X84" s="1"/>
    </row>
    <row r="85" spans="7:24" s="4" customFormat="1" ht="11.25">
      <c r="G85" s="12"/>
      <c r="X85" s="1"/>
    </row>
    <row r="86" spans="7:24" s="4" customFormat="1" ht="11.25">
      <c r="G86" s="12"/>
      <c r="X86" s="1"/>
    </row>
    <row r="87" spans="7:24" s="4" customFormat="1" ht="11.25">
      <c r="G87" s="12"/>
      <c r="X87" s="1"/>
    </row>
    <row r="88" spans="7:24" s="4" customFormat="1" ht="11.25">
      <c r="G88" s="12"/>
      <c r="X88" s="1"/>
    </row>
    <row r="89" spans="7:24" s="4" customFormat="1" ht="11.25">
      <c r="G89" s="12"/>
      <c r="X89" s="1"/>
    </row>
    <row r="90" spans="7:24" s="4" customFormat="1" ht="11.25">
      <c r="G90" s="12"/>
      <c r="X90" s="1"/>
    </row>
    <row r="91" spans="7:24" s="4" customFormat="1" ht="11.25">
      <c r="G91" s="12"/>
      <c r="X91" s="1"/>
    </row>
    <row r="92" spans="7:24" s="4" customFormat="1" ht="11.25">
      <c r="G92" s="12"/>
      <c r="X92" s="1"/>
    </row>
  </sheetData>
  <sheetProtection/>
  <mergeCells count="4">
    <mergeCell ref="B34:H34"/>
    <mergeCell ref="B56:H56"/>
    <mergeCell ref="B63:H63"/>
    <mergeCell ref="B65:H6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3" scale="87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ESTIMATE</dc:subject>
  <dc:creator>Michael Baigent</dc:creator>
  <cp:keywords/>
  <dc:description/>
  <cp:lastModifiedBy>Clark, Stephen J. (Vancouver)</cp:lastModifiedBy>
  <cp:lastPrinted>2014-03-28T18:31:54Z</cp:lastPrinted>
  <dcterms:created xsi:type="dcterms:W3CDTF">1998-12-07T19:56:09Z</dcterms:created>
  <dcterms:modified xsi:type="dcterms:W3CDTF">2014-03-28T18:32:02Z</dcterms:modified>
  <cp:category/>
  <cp:version/>
  <cp:contentType/>
  <cp:contentStatus/>
</cp:coreProperties>
</file>