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Costs'!$B$3:$V$92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<sst xmlns="http://schemas.openxmlformats.org/spreadsheetml/2006/main" count="194" uniqueCount="147">
  <si>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</si>
  <si>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</si>
  <si>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</si>
  <si>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</si>
  <si>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</si>
  <si>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</si>
  <si>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</si>
  <si>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</si>
  <si>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</si>
  <si>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</si>
  <si>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</si>
  <si>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</si>
  <si>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</si>
  <si>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</si>
  <si>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</si>
  <si>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</si>
  <si>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</si>
  <si>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</si>
  <si>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</si>
  <si>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</si>
  <si>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</si>
  <si>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</si>
  <si>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</si>
  <si>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</si>
  <si>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</si>
  <si>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</si>
  <si>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</si>
  <si>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</si>
  <si>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</si>
  <si>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</si>
  <si>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</si>
  <si>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</si>
  <si>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</si>
  <si>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</si>
  <si>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</si>
  <si>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</si>
  <si>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</si>
  <si>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</si>
  <si>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</si>
  <si>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</si>
  <si>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</si>
  <si>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</si>
  <si>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</si>
  <si>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</si>
  <si>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</si>
  <si>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</si>
  <si>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</si>
  <si>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</si>
  <si>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</si>
  <si>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</si>
  <si>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</si>
  <si>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</si>
  <si>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</si>
  <si>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</si>
  <si>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</si>
  <si>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</si>
  <si>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</si>
  <si>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</si>
  <si>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</si>
  <si>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</si>
  <si>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</si>
  <si>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</si>
  <si>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GEOTECHNICAL INVESTIGATIONS AND RECOMMENDATIONS </t>
  </si>
  <si>
    <t>307071-00895</t>
  </si>
  <si>
    <t xml:space="preserve"> +/-50%</t>
  </si>
  <si>
    <t>MW</t>
  </si>
  <si>
    <t>EA</t>
  </si>
  <si>
    <t>LS</t>
  </si>
  <si>
    <t>SNOW REMOVAL</t>
  </si>
  <si>
    <t>MDY</t>
  </si>
  <si>
    <t>Equipment Mob / Demob</t>
  </si>
  <si>
    <t>Shop Truck</t>
  </si>
  <si>
    <t>Temp Maintenance Shop</t>
  </si>
  <si>
    <t>Fuel Bowser</t>
  </si>
  <si>
    <t>Support Equipment</t>
  </si>
  <si>
    <t>Support Labour</t>
  </si>
  <si>
    <t>Heavy Duty Mechanic</t>
  </si>
  <si>
    <t>Labourer</t>
  </si>
  <si>
    <t>Welder</t>
  </si>
  <si>
    <t>Pick-up Trucks</t>
  </si>
  <si>
    <t>Shop Trailer</t>
  </si>
  <si>
    <t>MO</t>
  </si>
  <si>
    <t>Generator</t>
  </si>
  <si>
    <t>Portable Light Towers</t>
  </si>
  <si>
    <t>DY</t>
  </si>
  <si>
    <t>Transport from Dawson City to site (approx 110km one-way).</t>
  </si>
  <si>
    <t>Fuel Transportation</t>
  </si>
  <si>
    <t>27,000 liter tanker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</si>
  <si>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</si>
  <si>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</si>
  <si>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</si>
  <si>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</si>
  <si>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</si>
  <si>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</si>
  <si>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</si>
  <si>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</si>
  <si>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</si>
  <si>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</si>
  <si>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</si>
  <si>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</si>
  <si>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</si>
  <si>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</si>
  <si>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</si>
  <si>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</si>
  <si>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Edm to Dawson City charter flight + DC to Site by charter bus.  1 flight/man every two weeks.</t>
  </si>
  <si>
    <t>1,200m</t>
  </si>
  <si>
    <t>Bulk Earthworks</t>
  </si>
  <si>
    <t>Drill &amp; blast, screen &amp; sort, load &amp; haul to site and place.</t>
  </si>
  <si>
    <t>Haul Road Construction</t>
  </si>
  <si>
    <t>Channel profiling</t>
  </si>
  <si>
    <t>Cobbles - 25 to 100mm dia.</t>
  </si>
  <si>
    <t>M2</t>
  </si>
  <si>
    <t>Excavator &amp; Dozer</t>
  </si>
  <si>
    <t>n/a</t>
  </si>
  <si>
    <t xml:space="preserve"> *fuel included  in all-in rates.</t>
  </si>
  <si>
    <t>Edm to Dawson City to Site.</t>
  </si>
  <si>
    <t>Channel Armouring</t>
  </si>
  <si>
    <t>Granular filter - 20mm road crush</t>
  </si>
  <si>
    <t>For duration of project</t>
  </si>
  <si>
    <t>SubcontractCosts/Unit ($)</t>
  </si>
  <si>
    <t>Subcontract Total ($)</t>
  </si>
  <si>
    <t>Geotextile 10oz</t>
  </si>
  <si>
    <t>Under cobble layer.</t>
  </si>
  <si>
    <t>Bridge construction</t>
  </si>
  <si>
    <t>15m clear span x 11m w. Supply &amp; install.</t>
  </si>
  <si>
    <t>Water Management</t>
  </si>
  <si>
    <t>Aquadam - supply &amp; install</t>
  </si>
  <si>
    <t>Pumps, hoses, fuel &amp; maintainence</t>
  </si>
  <si>
    <t>150mm submersible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</si>
  <si>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</si>
  <si>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</si>
  <si>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</si>
  <si>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</si>
  <si>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>PPE; respirators, overalls</t>
  </si>
  <si>
    <t>Waste rock fill from Clinton Creek</t>
  </si>
  <si>
    <t>2.4km one-way haul</t>
  </si>
  <si>
    <t>Riprap - D50 = 800mm dia.</t>
  </si>
  <si>
    <t>LD</t>
  </si>
  <si>
    <t>ROAD MAINTENANCE</t>
  </si>
  <si>
    <t>1ea Grader 12hrs/day</t>
  </si>
  <si>
    <t>6' x 100' lg. 2x install.</t>
  </si>
  <si>
    <t>Fuel truck &amp; driver</t>
  </si>
  <si>
    <t>2ea Grader 12hrs/day</t>
  </si>
  <si>
    <t>Edmonton to Dawson City 2,519km. Dawson City to Site approx 110km. First Season: 2ea-345ex, 1ea-grader, 1ea-packer, 1ea-wheel loader, 1ea-D8. Second Season: 1ea-PC2000 shovel, 2ea-D8, 9ea-90ton rock truck, 2ea 345ex, 1ea wheel loader.</t>
  </si>
  <si>
    <t>45 man temporary camp x 4mo.</t>
  </si>
  <si>
    <t>Assessment and Abandoned Mines</t>
  </si>
  <si>
    <t>Clinton Creek Site LCCA - WC-D2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</si>
</sst>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165" fontId="0" fillId="0" borderId="0" xfId="63" applyFont="1" applyFill="1" applyAlignment="1">
      <alignment vertical="center"/>
    </xf>
    <xf numFmtId="165" fontId="26" fillId="46" borderId="17" xfId="63" applyFont="1" applyFill="1" applyBorder="1" applyAlignment="1">
      <alignment horizontal="center" vertical="center" wrapText="1"/>
    </xf>
    <xf numFmtId="165" fontId="0" fillId="0" borderId="0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26" fillId="46" borderId="17" xfId="63" applyFont="1" applyFill="1" applyBorder="1" applyAlignment="1">
      <alignment vertical="center" wrapText="1"/>
    </xf>
    <xf numFmtId="165" fontId="26" fillId="46" borderId="23" xfId="63" applyFont="1" applyFill="1" applyBorder="1" applyAlignment="1">
      <alignment vertical="center" wrapText="1"/>
    </xf>
    <xf numFmtId="165" fontId="0" fillId="0" borderId="0" xfId="63" applyFont="1" applyFill="1" applyAlignment="1">
      <alignment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438150</xdr:colOff>
      <xdr:row>2</xdr:row>
      <xdr:rowOff>114300</xdr:rowOff>
    </xdr:from>
    <xdr:to>
      <xdr:col>21</xdr:col>
      <xdr:colOff>714375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40005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3\Wolverine CAPEX\[307071-00895-Clinton Creek LCCA-WC-D2-05032014.xls]Summary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WC-D2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Costs'!S62,-3)</f>
        <v>7378000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Costs'!S83,-3)</f>
        <v>5106000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Costs'!S87,-3)</f>
        <v>1248000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Costs'!S88,-3)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Costs'!S89,-3)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13732000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</v>
      </c>
      <c r="E24" s="34">
        <f>ROUND('Detail Costs'!U92,-3)</f>
        <v>3433000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17165000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="90" zoomScaleNormal="90" zoomScalePageLayoutView="0" workbookViewId="0" topLeftCell="A1">
      <selection activeCell="C98" sqref="C98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83203125" style="7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3\Wolverine CAPEX\[307071-00895-Clinton Creek LCCA-WC-D2-05032014.xls]Detail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145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146</v>
      </c>
      <c r="E6" s="24" t="s">
        <v>25</v>
      </c>
      <c r="F6" s="54" t="s">
        <v>64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63</v>
      </c>
      <c r="E7" s="24" t="s">
        <v>10</v>
      </c>
      <c r="F7" s="54" t="s">
        <v>65</v>
      </c>
      <c r="G7" s="61"/>
      <c r="H7" s="10"/>
      <c r="K7" s="68"/>
      <c r="L7" s="69"/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84">
        <v>0</v>
      </c>
      <c r="G8" s="61"/>
      <c r="H8" s="10"/>
      <c r="K8" s="68"/>
      <c r="L8" s="70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72" t="s">
        <v>119</v>
      </c>
      <c r="N10" s="22" t="s">
        <v>120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73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73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73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0">F14*H14</f>
        <v>0</v>
      </c>
      <c r="J14" s="13">
        <f aca="true" t="shared" si="1" ref="J14:J20">I14*$L$8</f>
        <v>0</v>
      </c>
      <c r="K14" s="13"/>
      <c r="L14" s="13">
        <f aca="true" t="shared" si="2" ref="L14:L20">F14*K14</f>
        <v>0</v>
      </c>
      <c r="M14" s="74"/>
      <c r="N14" s="13">
        <f aca="true" t="shared" si="3" ref="N14:N20">F14*M14</f>
        <v>0</v>
      </c>
      <c r="O14" s="13"/>
      <c r="P14" s="13">
        <f aca="true" t="shared" si="4" ref="P14:P20">F14*O14</f>
        <v>0</v>
      </c>
      <c r="Q14" s="38"/>
      <c r="R14" s="13">
        <f aca="true" t="shared" si="5" ref="R14:R20">(J14+L14+N14+P14)*Q14</f>
        <v>0</v>
      </c>
      <c r="S14" s="13">
        <f aca="true" t="shared" si="6" ref="S14:S20">J14+L14+N14+P14+R14</f>
        <v>0</v>
      </c>
      <c r="T14" s="38"/>
      <c r="U14" s="13">
        <f aca="true" t="shared" si="7" ref="U14:U20">S14*T14</f>
        <v>0</v>
      </c>
      <c r="V14" s="13">
        <f aca="true" t="shared" si="8" ref="V14:V20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70</v>
      </c>
      <c r="E15" s="79" t="s">
        <v>143</v>
      </c>
      <c r="F15" s="63">
        <v>21</v>
      </c>
      <c r="G15" s="57" t="s">
        <v>66</v>
      </c>
      <c r="H15" s="13"/>
      <c r="I15" s="13">
        <f>F15*H15</f>
        <v>0</v>
      </c>
      <c r="J15" s="13">
        <f t="shared" si="1"/>
        <v>0</v>
      </c>
      <c r="K15" s="13"/>
      <c r="L15" s="13">
        <f>F15*K15</f>
        <v>0</v>
      </c>
      <c r="M15" s="83">
        <f>((11*9361.68)+(10*28763.28))*2/F15</f>
        <v>37201.07428571429</v>
      </c>
      <c r="N15" s="13">
        <f>F15*M15</f>
        <v>781222.56</v>
      </c>
      <c r="O15" s="13"/>
      <c r="P15" s="13">
        <f>F15*O15</f>
        <v>0</v>
      </c>
      <c r="Q15" s="38"/>
      <c r="R15" s="13">
        <f>(J15+L15+N15+P15)*Q15</f>
        <v>0</v>
      </c>
      <c r="S15" s="13">
        <f>J15+L15+N15+P15+R15</f>
        <v>781222.56</v>
      </c>
      <c r="T15" s="38">
        <v>0.25</v>
      </c>
      <c r="U15" s="13">
        <f>S15*T15</f>
        <v>195305.64</v>
      </c>
      <c r="V15" s="13">
        <f>S15+U15</f>
        <v>976528.2000000001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3"/>
      <c r="G16" s="57"/>
      <c r="H16" s="13"/>
      <c r="I16" s="13">
        <f>F16*H16</f>
        <v>0</v>
      </c>
      <c r="J16" s="13">
        <f t="shared" si="1"/>
        <v>0</v>
      </c>
      <c r="K16" s="13"/>
      <c r="L16" s="13">
        <f>F16*K16</f>
        <v>0</v>
      </c>
      <c r="M16" s="74"/>
      <c r="N16" s="13">
        <f>F16*M16</f>
        <v>0</v>
      </c>
      <c r="O16" s="13"/>
      <c r="P16" s="13">
        <f>F16*O16</f>
        <v>0</v>
      </c>
      <c r="Q16" s="38"/>
      <c r="R16" s="13">
        <f>(J16+L16+N16+P16)*Q16</f>
        <v>0</v>
      </c>
      <c r="S16" s="13">
        <f>J16+L16+N16+P16+R16</f>
        <v>0</v>
      </c>
      <c r="T16" s="38"/>
      <c r="U16" s="13">
        <f>S16*T16</f>
        <v>0</v>
      </c>
      <c r="V16" s="13">
        <f>S16+U16</f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108</v>
      </c>
      <c r="E17" s="37" t="s">
        <v>105</v>
      </c>
      <c r="F17" s="63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74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11.25">
      <c r="A18" s="50">
        <v>1.05</v>
      </c>
      <c r="B18" s="3"/>
      <c r="C18" s="37"/>
      <c r="D18" s="56" t="s">
        <v>91</v>
      </c>
      <c r="E18" s="37" t="s">
        <v>90</v>
      </c>
      <c r="F18" s="63">
        <v>1</v>
      </c>
      <c r="G18" s="57" t="s">
        <v>88</v>
      </c>
      <c r="H18" s="13"/>
      <c r="I18" s="13">
        <f>F18*H18</f>
        <v>0</v>
      </c>
      <c r="J18" s="13">
        <f>I18*$L$8</f>
        <v>0</v>
      </c>
      <c r="K18" s="13"/>
      <c r="L18" s="13">
        <f>F18*K18</f>
        <v>0</v>
      </c>
      <c r="M18" s="74">
        <v>11877.51</v>
      </c>
      <c r="N18" s="13">
        <f>F18*M18</f>
        <v>11877.51</v>
      </c>
      <c r="O18" s="13"/>
      <c r="P18" s="13">
        <f>F18*O18</f>
        <v>0</v>
      </c>
      <c r="Q18" s="38"/>
      <c r="R18" s="13">
        <f>(J18+L18+N18+P18)*Q18</f>
        <v>0</v>
      </c>
      <c r="S18" s="13">
        <f>J18+L18+N18+P18+R18</f>
        <v>11877.51</v>
      </c>
      <c r="T18" s="38">
        <v>0.25</v>
      </c>
      <c r="U18" s="13">
        <f>S18*T18</f>
        <v>2969.3775</v>
      </c>
      <c r="V18" s="13">
        <f>S18+U18</f>
        <v>14846.8875</v>
      </c>
      <c r="W18" s="3"/>
      <c r="X18" s="58"/>
      <c r="Y18" s="3"/>
    </row>
    <row r="19" spans="1:25" s="4" customFormat="1" ht="22.5">
      <c r="A19" s="50">
        <v>1.06</v>
      </c>
      <c r="B19" s="3"/>
      <c r="C19" s="37"/>
      <c r="D19" s="56" t="s">
        <v>93</v>
      </c>
      <c r="E19" s="37" t="s">
        <v>95</v>
      </c>
      <c r="F19" s="63">
        <v>9600</v>
      </c>
      <c r="G19" s="57" t="s">
        <v>89</v>
      </c>
      <c r="H19" s="13"/>
      <c r="I19" s="13">
        <f>F19*H19</f>
        <v>0</v>
      </c>
      <c r="J19" s="13">
        <f>I19*$L$8</f>
        <v>0</v>
      </c>
      <c r="K19" s="13"/>
      <c r="L19" s="13">
        <f>F19*K19</f>
        <v>0</v>
      </c>
      <c r="M19" s="75">
        <v>4.63</v>
      </c>
      <c r="N19" s="13">
        <f>F19*M19</f>
        <v>44448</v>
      </c>
      <c r="O19" s="13"/>
      <c r="P19" s="13">
        <f>F19*O19</f>
        <v>0</v>
      </c>
      <c r="Q19" s="38"/>
      <c r="R19" s="13">
        <f>(J19+L19+N19+P19)*Q19</f>
        <v>0</v>
      </c>
      <c r="S19" s="13">
        <f>J19+L19+N19+P19+R19</f>
        <v>44448</v>
      </c>
      <c r="T19" s="38">
        <v>0.25</v>
      </c>
      <c r="U19" s="13">
        <f>S19*T19</f>
        <v>11112</v>
      </c>
      <c r="V19" s="13">
        <f>S19+U19</f>
        <v>55560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 t="s">
        <v>92</v>
      </c>
      <c r="E20" s="37" t="s">
        <v>97</v>
      </c>
      <c r="F20" s="63">
        <v>900</v>
      </c>
      <c r="G20" s="57" t="s">
        <v>89</v>
      </c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74">
        <v>12.57</v>
      </c>
      <c r="N20" s="13">
        <f t="shared" si="3"/>
        <v>11313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11313</v>
      </c>
      <c r="T20" s="38">
        <v>0.25</v>
      </c>
      <c r="U20" s="13">
        <f t="shared" si="7"/>
        <v>2828.25</v>
      </c>
      <c r="V20" s="13">
        <f t="shared" si="8"/>
        <v>14141.25</v>
      </c>
      <c r="W20" s="3"/>
      <c r="X20" s="58"/>
      <c r="Y20" s="3"/>
    </row>
    <row r="21" spans="1:25" s="4" customFormat="1" ht="22.5">
      <c r="A21" s="50">
        <v>1.08</v>
      </c>
      <c r="B21" s="3"/>
      <c r="C21" s="37"/>
      <c r="D21" s="56" t="s">
        <v>96</v>
      </c>
      <c r="E21" s="37" t="s">
        <v>94</v>
      </c>
      <c r="F21" s="63">
        <v>960</v>
      </c>
      <c r="G21" s="57" t="s">
        <v>89</v>
      </c>
      <c r="H21" s="13"/>
      <c r="I21" s="13">
        <f aca="true" t="shared" si="9" ref="I21:I26">F21*H21</f>
        <v>0</v>
      </c>
      <c r="J21" s="13">
        <f aca="true" t="shared" si="10" ref="J21:J26">I21*$L$8</f>
        <v>0</v>
      </c>
      <c r="K21" s="13"/>
      <c r="L21" s="13">
        <f aca="true" t="shared" si="11" ref="L21:L26">F21*K21</f>
        <v>0</v>
      </c>
      <c r="M21" s="75">
        <f>37.22+73.1+35.79+12.57</f>
        <v>158.67999999999998</v>
      </c>
      <c r="N21" s="13">
        <f aca="true" t="shared" si="12" ref="N21:N26">F21*M21</f>
        <v>152332.8</v>
      </c>
      <c r="O21" s="13"/>
      <c r="P21" s="13">
        <f aca="true" t="shared" si="13" ref="P21:P26">F21*O21</f>
        <v>0</v>
      </c>
      <c r="Q21" s="38"/>
      <c r="R21" s="13">
        <f aca="true" t="shared" si="14" ref="R21:R26">(J21+L21+N21+P21)*Q21</f>
        <v>0</v>
      </c>
      <c r="S21" s="13">
        <f aca="true" t="shared" si="15" ref="S21:S26">J21+L21+N21+P21+R21</f>
        <v>152332.8</v>
      </c>
      <c r="T21" s="38">
        <v>0.25</v>
      </c>
      <c r="U21" s="13">
        <f aca="true" t="shared" si="16" ref="U21:U26">S21*T21</f>
        <v>38083.2</v>
      </c>
      <c r="V21" s="13">
        <f aca="true" t="shared" si="17" ref="V21:V26">S21+U21</f>
        <v>190416</v>
      </c>
      <c r="W21" s="3"/>
      <c r="X21" s="58"/>
      <c r="Y21" s="3"/>
    </row>
    <row r="22" spans="1:25" s="4" customFormat="1" ht="22.5">
      <c r="A22" s="50">
        <v>1.09</v>
      </c>
      <c r="B22" s="3"/>
      <c r="C22" s="37"/>
      <c r="D22" s="56" t="s">
        <v>123</v>
      </c>
      <c r="E22" s="37" t="s">
        <v>124</v>
      </c>
      <c r="F22" s="63">
        <v>1</v>
      </c>
      <c r="G22" s="57" t="s">
        <v>67</v>
      </c>
      <c r="H22" s="13"/>
      <c r="I22" s="13">
        <f t="shared" si="9"/>
        <v>0</v>
      </c>
      <c r="J22" s="13">
        <f t="shared" si="10"/>
        <v>0</v>
      </c>
      <c r="K22" s="13"/>
      <c r="L22" s="13">
        <f t="shared" si="11"/>
        <v>0</v>
      </c>
      <c r="M22" s="82">
        <v>889246.4787999999</v>
      </c>
      <c r="N22" s="13">
        <f t="shared" si="12"/>
        <v>889246.4787999999</v>
      </c>
      <c r="O22" s="13"/>
      <c r="P22" s="13">
        <f t="shared" si="13"/>
        <v>0</v>
      </c>
      <c r="Q22" s="38"/>
      <c r="R22" s="13">
        <f t="shared" si="14"/>
        <v>0</v>
      </c>
      <c r="S22" s="13">
        <f t="shared" si="15"/>
        <v>889246.4787999999</v>
      </c>
      <c r="T22" s="38">
        <v>0.25</v>
      </c>
      <c r="U22" s="13">
        <f t="shared" si="16"/>
        <v>222311.61969999998</v>
      </c>
      <c r="V22" s="13">
        <f t="shared" si="17"/>
        <v>1111558.0984999998</v>
      </c>
      <c r="W22" s="3"/>
      <c r="X22" s="58"/>
      <c r="Y22" s="3"/>
    </row>
    <row r="23" spans="1:25" s="4" customFormat="1" ht="11.25">
      <c r="A23" s="50">
        <v>1.1</v>
      </c>
      <c r="B23" s="3"/>
      <c r="C23" s="37"/>
      <c r="D23" s="56"/>
      <c r="E23" s="37"/>
      <c r="F23" s="63"/>
      <c r="G23" s="57"/>
      <c r="H23" s="13"/>
      <c r="I23" s="13">
        <f t="shared" si="9"/>
        <v>0</v>
      </c>
      <c r="J23" s="13">
        <f t="shared" si="10"/>
        <v>0</v>
      </c>
      <c r="K23" s="13"/>
      <c r="L23" s="13">
        <f t="shared" si="11"/>
        <v>0</v>
      </c>
      <c r="M23" s="74"/>
      <c r="N23" s="13">
        <f t="shared" si="12"/>
        <v>0</v>
      </c>
      <c r="O23" s="13"/>
      <c r="P23" s="13">
        <f t="shared" si="13"/>
        <v>0</v>
      </c>
      <c r="Q23" s="38"/>
      <c r="R23" s="13">
        <f t="shared" si="14"/>
        <v>0</v>
      </c>
      <c r="S23" s="13">
        <f t="shared" si="15"/>
        <v>0</v>
      </c>
      <c r="T23" s="38"/>
      <c r="U23" s="13">
        <f t="shared" si="16"/>
        <v>0</v>
      </c>
      <c r="V23" s="13">
        <f t="shared" si="17"/>
        <v>0</v>
      </c>
      <c r="W23" s="3"/>
      <c r="X23" s="58"/>
      <c r="Y23" s="3"/>
    </row>
    <row r="24" spans="1:25" s="4" customFormat="1" ht="11.25">
      <c r="A24" s="50">
        <v>1.11</v>
      </c>
      <c r="B24" s="3"/>
      <c r="C24" s="37"/>
      <c r="D24" s="59" t="s">
        <v>106</v>
      </c>
      <c r="E24" s="37"/>
      <c r="F24" s="63"/>
      <c r="G24" s="57"/>
      <c r="H24" s="13"/>
      <c r="I24" s="13">
        <f t="shared" si="9"/>
        <v>0</v>
      </c>
      <c r="J24" s="13">
        <f t="shared" si="10"/>
        <v>0</v>
      </c>
      <c r="K24" s="13"/>
      <c r="L24" s="13">
        <f t="shared" si="11"/>
        <v>0</v>
      </c>
      <c r="M24" s="74"/>
      <c r="N24" s="13">
        <f t="shared" si="12"/>
        <v>0</v>
      </c>
      <c r="O24" s="13"/>
      <c r="P24" s="13">
        <f t="shared" si="13"/>
        <v>0</v>
      </c>
      <c r="Q24" s="38"/>
      <c r="R24" s="13">
        <f t="shared" si="14"/>
        <v>0</v>
      </c>
      <c r="S24" s="13">
        <f t="shared" si="15"/>
        <v>0</v>
      </c>
      <c r="T24" s="38"/>
      <c r="U24" s="13">
        <f t="shared" si="16"/>
        <v>0</v>
      </c>
      <c r="V24" s="13">
        <f t="shared" si="17"/>
        <v>0</v>
      </c>
      <c r="W24" s="3"/>
      <c r="X24" s="58"/>
      <c r="Y24" s="3"/>
    </row>
    <row r="25" spans="1:25" s="4" customFormat="1" ht="11.25">
      <c r="A25" s="50">
        <v>1.12</v>
      </c>
      <c r="B25" s="3"/>
      <c r="C25" s="37"/>
      <c r="D25" s="56" t="s">
        <v>134</v>
      </c>
      <c r="E25" s="37" t="s">
        <v>135</v>
      </c>
      <c r="F25" s="63">
        <v>340000</v>
      </c>
      <c r="G25" s="57" t="s">
        <v>89</v>
      </c>
      <c r="H25" s="13"/>
      <c r="I25" s="13">
        <f t="shared" si="9"/>
        <v>0</v>
      </c>
      <c r="J25" s="13">
        <f t="shared" si="10"/>
        <v>0</v>
      </c>
      <c r="K25" s="13"/>
      <c r="L25" s="13">
        <f t="shared" si="11"/>
        <v>0</v>
      </c>
      <c r="M25" s="75">
        <v>7.52</v>
      </c>
      <c r="N25" s="13">
        <f t="shared" si="12"/>
        <v>2556800</v>
      </c>
      <c r="O25" s="13"/>
      <c r="P25" s="13">
        <f t="shared" si="13"/>
        <v>0</v>
      </c>
      <c r="Q25" s="38"/>
      <c r="R25" s="13">
        <f t="shared" si="14"/>
        <v>0</v>
      </c>
      <c r="S25" s="13">
        <f t="shared" si="15"/>
        <v>2556800</v>
      </c>
      <c r="T25" s="38">
        <v>0.25</v>
      </c>
      <c r="U25" s="13">
        <f t="shared" si="16"/>
        <v>639200</v>
      </c>
      <c r="V25" s="13">
        <f t="shared" si="17"/>
        <v>3196000</v>
      </c>
      <c r="W25" s="3"/>
      <c r="X25" s="58"/>
      <c r="Y25" s="3"/>
    </row>
    <row r="26" spans="1:25" s="4" customFormat="1" ht="11.25">
      <c r="A26" s="50">
        <v>1.13</v>
      </c>
      <c r="B26" s="3"/>
      <c r="C26" s="37"/>
      <c r="D26" s="56"/>
      <c r="E26" s="37"/>
      <c r="F26" s="63"/>
      <c r="G26" s="57"/>
      <c r="H26" s="13"/>
      <c r="I26" s="13">
        <f t="shared" si="9"/>
        <v>0</v>
      </c>
      <c r="J26" s="13">
        <f t="shared" si="10"/>
        <v>0</v>
      </c>
      <c r="K26" s="13"/>
      <c r="L26" s="13">
        <f t="shared" si="11"/>
        <v>0</v>
      </c>
      <c r="M26" s="74"/>
      <c r="N26" s="13">
        <f t="shared" si="12"/>
        <v>0</v>
      </c>
      <c r="O26" s="13"/>
      <c r="P26" s="13">
        <f t="shared" si="13"/>
        <v>0</v>
      </c>
      <c r="Q26" s="38"/>
      <c r="R26" s="13">
        <f t="shared" si="14"/>
        <v>0</v>
      </c>
      <c r="S26" s="13">
        <f t="shared" si="15"/>
        <v>0</v>
      </c>
      <c r="T26" s="38"/>
      <c r="U26" s="13">
        <f t="shared" si="16"/>
        <v>0</v>
      </c>
      <c r="V26" s="13">
        <f t="shared" si="17"/>
        <v>0</v>
      </c>
      <c r="W26" s="3"/>
      <c r="X26" s="58"/>
      <c r="Y26" s="3"/>
    </row>
    <row r="27" spans="1:25" s="4" customFormat="1" ht="11.25">
      <c r="A27" s="50">
        <v>1.14</v>
      </c>
      <c r="B27" s="3"/>
      <c r="C27" s="37"/>
      <c r="D27" s="59" t="s">
        <v>116</v>
      </c>
      <c r="E27" s="37"/>
      <c r="F27" s="63"/>
      <c r="G27" s="57"/>
      <c r="H27" s="13"/>
      <c r="I27" s="13">
        <f aca="true" t="shared" si="18" ref="I27:I37">F27*H27</f>
        <v>0</v>
      </c>
      <c r="J27" s="13">
        <f aca="true" t="shared" si="19" ref="J27:J37">I27*$L$8</f>
        <v>0</v>
      </c>
      <c r="K27" s="13"/>
      <c r="L27" s="13">
        <f aca="true" t="shared" si="20" ref="L27:L37">F27*K27</f>
        <v>0</v>
      </c>
      <c r="M27" s="74"/>
      <c r="N27" s="13">
        <f aca="true" t="shared" si="21" ref="N27:N37">F27*M27</f>
        <v>0</v>
      </c>
      <c r="O27" s="13"/>
      <c r="P27" s="13">
        <f aca="true" t="shared" si="22" ref="P27:P37">F27*O27</f>
        <v>0</v>
      </c>
      <c r="Q27" s="38"/>
      <c r="R27" s="13">
        <f aca="true" t="shared" si="23" ref="R27:R37">(J27+L27+N27+P27)*Q27</f>
        <v>0</v>
      </c>
      <c r="S27" s="13">
        <f aca="true" t="shared" si="24" ref="S27:S37">J27+L27+N27+P27+R27</f>
        <v>0</v>
      </c>
      <c r="T27" s="38"/>
      <c r="U27" s="13">
        <f aca="true" t="shared" si="25" ref="U27:U37">S27*T27</f>
        <v>0</v>
      </c>
      <c r="V27" s="13">
        <f aca="true" t="shared" si="26" ref="V27:V37">S27+U27</f>
        <v>0</v>
      </c>
      <c r="W27" s="3"/>
      <c r="X27" s="58"/>
      <c r="Y27" s="3"/>
    </row>
    <row r="28" spans="1:25" s="4" customFormat="1" ht="11.25">
      <c r="A28" s="50">
        <v>1.15</v>
      </c>
      <c r="B28" s="3"/>
      <c r="C28" s="37"/>
      <c r="D28" s="56" t="s">
        <v>109</v>
      </c>
      <c r="E28" s="37" t="s">
        <v>112</v>
      </c>
      <c r="F28" s="63">
        <v>20250</v>
      </c>
      <c r="G28" s="57" t="s">
        <v>89</v>
      </c>
      <c r="H28" s="13"/>
      <c r="I28" s="13">
        <f t="shared" si="18"/>
        <v>0</v>
      </c>
      <c r="J28" s="13">
        <f t="shared" si="19"/>
        <v>0</v>
      </c>
      <c r="K28" s="13"/>
      <c r="L28" s="13">
        <f t="shared" si="20"/>
        <v>0</v>
      </c>
      <c r="M28" s="74">
        <v>5.22</v>
      </c>
      <c r="N28" s="13">
        <f t="shared" si="21"/>
        <v>105705</v>
      </c>
      <c r="O28" s="13"/>
      <c r="P28" s="13">
        <f t="shared" si="22"/>
        <v>0</v>
      </c>
      <c r="Q28" s="38"/>
      <c r="R28" s="13">
        <f t="shared" si="23"/>
        <v>0</v>
      </c>
      <c r="S28" s="13">
        <f t="shared" si="24"/>
        <v>105705</v>
      </c>
      <c r="T28" s="38">
        <v>0.25</v>
      </c>
      <c r="U28" s="13">
        <f t="shared" si="25"/>
        <v>26426.25</v>
      </c>
      <c r="V28" s="13">
        <f t="shared" si="26"/>
        <v>132131.25</v>
      </c>
      <c r="W28" s="3"/>
      <c r="X28" s="58"/>
      <c r="Y28" s="3"/>
    </row>
    <row r="29" spans="1:25" s="4" customFormat="1" ht="22.5">
      <c r="A29" s="50">
        <v>1.16</v>
      </c>
      <c r="B29" s="3"/>
      <c r="C29" s="37"/>
      <c r="D29" s="56" t="s">
        <v>110</v>
      </c>
      <c r="E29" s="37" t="s">
        <v>107</v>
      </c>
      <c r="F29" s="63">
        <v>2500</v>
      </c>
      <c r="G29" s="57" t="s">
        <v>89</v>
      </c>
      <c r="H29" s="13"/>
      <c r="I29" s="13">
        <f t="shared" si="18"/>
        <v>0</v>
      </c>
      <c r="J29" s="13">
        <f t="shared" si="19"/>
        <v>0</v>
      </c>
      <c r="K29" s="13"/>
      <c r="L29" s="13">
        <f t="shared" si="20"/>
        <v>0</v>
      </c>
      <c r="M29" s="75">
        <f>10.04+56.73+35.79+10.17</f>
        <v>112.73</v>
      </c>
      <c r="N29" s="13">
        <f t="shared" si="21"/>
        <v>281825</v>
      </c>
      <c r="O29" s="13"/>
      <c r="P29" s="13">
        <f t="shared" si="22"/>
        <v>0</v>
      </c>
      <c r="Q29" s="38"/>
      <c r="R29" s="13">
        <f t="shared" si="23"/>
        <v>0</v>
      </c>
      <c r="S29" s="13">
        <f t="shared" si="24"/>
        <v>281825</v>
      </c>
      <c r="T29" s="38">
        <v>0.25</v>
      </c>
      <c r="U29" s="13">
        <f t="shared" si="25"/>
        <v>70456.25</v>
      </c>
      <c r="V29" s="13">
        <f t="shared" si="26"/>
        <v>352281.25</v>
      </c>
      <c r="W29" s="3"/>
      <c r="X29" s="58"/>
      <c r="Y29" s="3"/>
    </row>
    <row r="30" spans="1:25" s="4" customFormat="1" ht="11.25">
      <c r="A30" s="50">
        <v>1.17</v>
      </c>
      <c r="B30" s="3"/>
      <c r="C30" s="37"/>
      <c r="D30" s="56" t="s">
        <v>121</v>
      </c>
      <c r="E30" s="37" t="s">
        <v>122</v>
      </c>
      <c r="F30" s="63">
        <f>F29/0.3</f>
        <v>8333.333333333334</v>
      </c>
      <c r="G30" s="57" t="s">
        <v>111</v>
      </c>
      <c r="H30" s="13"/>
      <c r="I30" s="13">
        <f t="shared" si="18"/>
        <v>0</v>
      </c>
      <c r="J30" s="13">
        <f t="shared" si="19"/>
        <v>0</v>
      </c>
      <c r="K30" s="13"/>
      <c r="L30" s="13">
        <f t="shared" si="20"/>
        <v>0</v>
      </c>
      <c r="M30" s="74">
        <v>3.62</v>
      </c>
      <c r="N30" s="13">
        <f t="shared" si="21"/>
        <v>30166.66666666667</v>
      </c>
      <c r="O30" s="13"/>
      <c r="P30" s="13">
        <f t="shared" si="22"/>
        <v>0</v>
      </c>
      <c r="Q30" s="38"/>
      <c r="R30" s="13">
        <f t="shared" si="23"/>
        <v>0</v>
      </c>
      <c r="S30" s="13">
        <f t="shared" si="24"/>
        <v>30166.66666666667</v>
      </c>
      <c r="T30" s="38">
        <v>0.25</v>
      </c>
      <c r="U30" s="13">
        <f t="shared" si="25"/>
        <v>7541.666666666668</v>
      </c>
      <c r="V30" s="13">
        <f t="shared" si="26"/>
        <v>37708.33333333334</v>
      </c>
      <c r="W30" s="3"/>
      <c r="X30" s="58"/>
      <c r="Y30" s="3"/>
    </row>
    <row r="31" spans="1:25" s="4" customFormat="1" ht="22.5">
      <c r="A31" s="50">
        <v>1.18</v>
      </c>
      <c r="B31" s="3"/>
      <c r="C31" s="37"/>
      <c r="D31" s="56" t="s">
        <v>136</v>
      </c>
      <c r="E31" s="37" t="s">
        <v>107</v>
      </c>
      <c r="F31" s="63">
        <v>2400</v>
      </c>
      <c r="G31" s="57" t="s">
        <v>89</v>
      </c>
      <c r="H31" s="13"/>
      <c r="I31" s="13">
        <f t="shared" si="18"/>
        <v>0</v>
      </c>
      <c r="J31" s="13">
        <f t="shared" si="19"/>
        <v>0</v>
      </c>
      <c r="K31" s="13"/>
      <c r="L31" s="13">
        <f t="shared" si="20"/>
        <v>0</v>
      </c>
      <c r="M31" s="75">
        <f>10.04+54.51+35.79+9.04</f>
        <v>109.38</v>
      </c>
      <c r="N31" s="13">
        <f t="shared" si="21"/>
        <v>262512</v>
      </c>
      <c r="O31" s="13"/>
      <c r="P31" s="13">
        <f t="shared" si="22"/>
        <v>0</v>
      </c>
      <c r="Q31" s="38"/>
      <c r="R31" s="13">
        <f t="shared" si="23"/>
        <v>0</v>
      </c>
      <c r="S31" s="13">
        <f t="shared" si="24"/>
        <v>262512</v>
      </c>
      <c r="T31" s="38">
        <v>0.25</v>
      </c>
      <c r="U31" s="13">
        <f t="shared" si="25"/>
        <v>65628</v>
      </c>
      <c r="V31" s="13">
        <f t="shared" si="26"/>
        <v>328140</v>
      </c>
      <c r="W31" s="3"/>
      <c r="X31" s="58"/>
      <c r="Y31" s="3"/>
    </row>
    <row r="32" spans="1:25" s="4" customFormat="1" ht="22.5">
      <c r="A32" s="50">
        <v>1.19</v>
      </c>
      <c r="B32" s="3"/>
      <c r="C32" s="37"/>
      <c r="D32" s="56" t="s">
        <v>117</v>
      </c>
      <c r="E32" s="37" t="s">
        <v>107</v>
      </c>
      <c r="F32" s="63">
        <v>2000</v>
      </c>
      <c r="G32" s="57" t="s">
        <v>89</v>
      </c>
      <c r="H32" s="13"/>
      <c r="I32" s="13">
        <f t="shared" si="18"/>
        <v>0</v>
      </c>
      <c r="J32" s="13">
        <f t="shared" si="19"/>
        <v>0</v>
      </c>
      <c r="K32" s="13"/>
      <c r="L32" s="13">
        <f t="shared" si="20"/>
        <v>0</v>
      </c>
      <c r="M32" s="75">
        <f>10.04+73.1+35.79+9.04</f>
        <v>127.96999999999997</v>
      </c>
      <c r="N32" s="13">
        <f t="shared" si="21"/>
        <v>255939.99999999994</v>
      </c>
      <c r="O32" s="13"/>
      <c r="P32" s="13">
        <f t="shared" si="22"/>
        <v>0</v>
      </c>
      <c r="Q32" s="38"/>
      <c r="R32" s="13">
        <f t="shared" si="23"/>
        <v>0</v>
      </c>
      <c r="S32" s="13">
        <f t="shared" si="24"/>
        <v>255939.99999999994</v>
      </c>
      <c r="T32" s="38">
        <v>0.25</v>
      </c>
      <c r="U32" s="13">
        <f t="shared" si="25"/>
        <v>63984.999999999985</v>
      </c>
      <c r="V32" s="13">
        <f t="shared" si="26"/>
        <v>319924.99999999994</v>
      </c>
      <c r="W32" s="3"/>
      <c r="X32" s="58"/>
      <c r="Y32" s="3"/>
    </row>
    <row r="33" spans="1:25" s="4" customFormat="1" ht="11.25">
      <c r="A33" s="50">
        <v>1.2</v>
      </c>
      <c r="B33" s="3"/>
      <c r="C33" s="37"/>
      <c r="D33" s="56"/>
      <c r="E33" s="37"/>
      <c r="F33" s="63"/>
      <c r="G33" s="57"/>
      <c r="H33" s="13"/>
      <c r="I33" s="13">
        <f t="shared" si="18"/>
        <v>0</v>
      </c>
      <c r="J33" s="13">
        <f t="shared" si="19"/>
        <v>0</v>
      </c>
      <c r="K33" s="13"/>
      <c r="L33" s="13">
        <f t="shared" si="20"/>
        <v>0</v>
      </c>
      <c r="M33" s="74"/>
      <c r="N33" s="13">
        <f t="shared" si="21"/>
        <v>0</v>
      </c>
      <c r="O33" s="13"/>
      <c r="P33" s="13">
        <f t="shared" si="22"/>
        <v>0</v>
      </c>
      <c r="Q33" s="38"/>
      <c r="R33" s="13">
        <f t="shared" si="23"/>
        <v>0</v>
      </c>
      <c r="S33" s="13">
        <f t="shared" si="24"/>
        <v>0</v>
      </c>
      <c r="T33" s="38"/>
      <c r="U33" s="13">
        <f t="shared" si="25"/>
        <v>0</v>
      </c>
      <c r="V33" s="13">
        <f t="shared" si="26"/>
        <v>0</v>
      </c>
      <c r="W33" s="3"/>
      <c r="X33" s="58"/>
      <c r="Y33" s="3"/>
    </row>
    <row r="34" spans="1:25" s="4" customFormat="1" ht="11.25">
      <c r="A34" s="50">
        <v>1.21</v>
      </c>
      <c r="B34" s="3"/>
      <c r="C34" s="37"/>
      <c r="D34" s="59" t="s">
        <v>125</v>
      </c>
      <c r="E34" s="37"/>
      <c r="F34" s="63"/>
      <c r="G34" s="57"/>
      <c r="H34" s="13"/>
      <c r="I34" s="13">
        <f t="shared" si="18"/>
        <v>0</v>
      </c>
      <c r="J34" s="13">
        <f t="shared" si="19"/>
        <v>0</v>
      </c>
      <c r="K34" s="13"/>
      <c r="L34" s="13">
        <f t="shared" si="20"/>
        <v>0</v>
      </c>
      <c r="M34" s="13"/>
      <c r="N34" s="13">
        <f t="shared" si="21"/>
        <v>0</v>
      </c>
      <c r="O34" s="13"/>
      <c r="P34" s="13">
        <f t="shared" si="22"/>
        <v>0</v>
      </c>
      <c r="Q34" s="38"/>
      <c r="R34" s="13">
        <f t="shared" si="23"/>
        <v>0</v>
      </c>
      <c r="S34" s="13">
        <f t="shared" si="24"/>
        <v>0</v>
      </c>
      <c r="T34" s="38"/>
      <c r="U34" s="13">
        <f t="shared" si="25"/>
        <v>0</v>
      </c>
      <c r="V34" s="13">
        <f t="shared" si="26"/>
        <v>0</v>
      </c>
      <c r="W34" s="3"/>
      <c r="X34" s="58"/>
      <c r="Y34" s="3"/>
    </row>
    <row r="35" spans="1:25" s="4" customFormat="1" ht="11.25">
      <c r="A35" s="50">
        <v>1.22</v>
      </c>
      <c r="B35" s="3"/>
      <c r="C35" s="37"/>
      <c r="D35" s="56" t="s">
        <v>126</v>
      </c>
      <c r="E35" s="37" t="s">
        <v>140</v>
      </c>
      <c r="F35" s="63">
        <v>1</v>
      </c>
      <c r="G35" s="57" t="s">
        <v>66</v>
      </c>
      <c r="H35" s="13"/>
      <c r="I35" s="13">
        <f t="shared" si="18"/>
        <v>0</v>
      </c>
      <c r="J35" s="13">
        <f t="shared" si="19"/>
        <v>0</v>
      </c>
      <c r="K35" s="13"/>
      <c r="L35" s="13">
        <f t="shared" si="20"/>
        <v>0</v>
      </c>
      <c r="M35" s="83">
        <f>26000+16800</f>
        <v>42800</v>
      </c>
      <c r="N35" s="13">
        <f t="shared" si="21"/>
        <v>42800</v>
      </c>
      <c r="O35" s="13"/>
      <c r="P35" s="13">
        <f t="shared" si="22"/>
        <v>0</v>
      </c>
      <c r="Q35" s="38"/>
      <c r="R35" s="13">
        <f t="shared" si="23"/>
        <v>0</v>
      </c>
      <c r="S35" s="13">
        <f t="shared" si="24"/>
        <v>42800</v>
      </c>
      <c r="T35" s="38">
        <v>0.25</v>
      </c>
      <c r="U35" s="13">
        <f t="shared" si="25"/>
        <v>10700</v>
      </c>
      <c r="V35" s="13">
        <f t="shared" si="26"/>
        <v>53500</v>
      </c>
      <c r="W35" s="3"/>
      <c r="X35" s="58"/>
      <c r="Y35" s="3"/>
    </row>
    <row r="36" spans="1:25" s="4" customFormat="1" ht="11.25">
      <c r="A36" s="50">
        <v>1.23</v>
      </c>
      <c r="B36" s="3"/>
      <c r="C36" s="37"/>
      <c r="D36" s="56" t="s">
        <v>127</v>
      </c>
      <c r="E36" s="37" t="s">
        <v>128</v>
      </c>
      <c r="F36" s="63">
        <v>2</v>
      </c>
      <c r="G36" s="57" t="s">
        <v>66</v>
      </c>
      <c r="H36" s="13"/>
      <c r="I36" s="13">
        <f t="shared" si="18"/>
        <v>0</v>
      </c>
      <c r="J36" s="13">
        <f t="shared" si="19"/>
        <v>0</v>
      </c>
      <c r="K36" s="13"/>
      <c r="L36" s="13">
        <f t="shared" si="20"/>
        <v>0</v>
      </c>
      <c r="M36" s="83">
        <f>((1*100)+(87.2+9.15+9.15)+100)*30.4*5.5</f>
        <v>51079.59999999999</v>
      </c>
      <c r="N36" s="13">
        <f t="shared" si="21"/>
        <v>102159.19999999998</v>
      </c>
      <c r="O36" s="13"/>
      <c r="P36" s="13">
        <f t="shared" si="22"/>
        <v>0</v>
      </c>
      <c r="Q36" s="38"/>
      <c r="R36" s="13">
        <f t="shared" si="23"/>
        <v>0</v>
      </c>
      <c r="S36" s="13">
        <f t="shared" si="24"/>
        <v>102159.19999999998</v>
      </c>
      <c r="T36" s="38">
        <v>0.25</v>
      </c>
      <c r="U36" s="13">
        <f t="shared" si="25"/>
        <v>25539.799999999996</v>
      </c>
      <c r="V36" s="13">
        <f t="shared" si="26"/>
        <v>127698.99999999997</v>
      </c>
      <c r="W36" s="3"/>
      <c r="X36" s="58"/>
      <c r="Y36" s="3"/>
    </row>
    <row r="37" spans="1:25" s="4" customFormat="1" ht="11.25">
      <c r="A37" s="50">
        <v>1.24</v>
      </c>
      <c r="B37" s="3"/>
      <c r="C37" s="37"/>
      <c r="D37" s="56"/>
      <c r="E37" s="37"/>
      <c r="F37" s="63"/>
      <c r="G37" s="57"/>
      <c r="H37" s="13"/>
      <c r="I37" s="13">
        <f t="shared" si="18"/>
        <v>0</v>
      </c>
      <c r="J37" s="13">
        <f t="shared" si="19"/>
        <v>0</v>
      </c>
      <c r="K37" s="13"/>
      <c r="L37" s="13">
        <f t="shared" si="20"/>
        <v>0</v>
      </c>
      <c r="M37" s="74"/>
      <c r="N37" s="13">
        <f t="shared" si="21"/>
        <v>0</v>
      </c>
      <c r="O37" s="13"/>
      <c r="P37" s="13">
        <f t="shared" si="22"/>
        <v>0</v>
      </c>
      <c r="Q37" s="38"/>
      <c r="R37" s="13">
        <f t="shared" si="23"/>
        <v>0</v>
      </c>
      <c r="S37" s="13">
        <f t="shared" si="24"/>
        <v>0</v>
      </c>
      <c r="T37" s="38"/>
      <c r="U37" s="13">
        <f t="shared" si="25"/>
        <v>0</v>
      </c>
      <c r="V37" s="13">
        <f t="shared" si="26"/>
        <v>0</v>
      </c>
      <c r="W37" s="3"/>
      <c r="X37" s="58"/>
      <c r="Y37" s="3"/>
    </row>
    <row r="38" spans="1:25" s="4" customFormat="1" ht="11.25">
      <c r="A38" s="50">
        <v>1.37</v>
      </c>
      <c r="B38" s="3"/>
      <c r="C38" s="37"/>
      <c r="D38" s="59" t="s">
        <v>74</v>
      </c>
      <c r="E38" s="37" t="s">
        <v>118</v>
      </c>
      <c r="F38" s="63"/>
      <c r="G38" s="57"/>
      <c r="H38" s="13"/>
      <c r="I38" s="13">
        <f aca="true" t="shared" si="27" ref="I38:I61">F38*H38</f>
        <v>0</v>
      </c>
      <c r="J38" s="13">
        <f aca="true" t="shared" si="28" ref="J38:J61">I38*$L$8</f>
        <v>0</v>
      </c>
      <c r="K38" s="13"/>
      <c r="L38" s="13">
        <f aca="true" t="shared" si="29" ref="L38:L61">F38*K38</f>
        <v>0</v>
      </c>
      <c r="M38" s="74"/>
      <c r="N38" s="13">
        <f aca="true" t="shared" si="30" ref="N38:N61">F38*M38</f>
        <v>0</v>
      </c>
      <c r="O38" s="13"/>
      <c r="P38" s="13">
        <f aca="true" t="shared" si="31" ref="P38:P61">F38*O38</f>
        <v>0</v>
      </c>
      <c r="Q38" s="38"/>
      <c r="R38" s="13">
        <f aca="true" t="shared" si="32" ref="R38:R61">(J38+L38+N38+P38)*Q38</f>
        <v>0</v>
      </c>
      <c r="S38" s="13">
        <f aca="true" t="shared" si="33" ref="S38:S61">J38+L38+N38+P38+R38</f>
        <v>0</v>
      </c>
      <c r="T38" s="38"/>
      <c r="U38" s="13">
        <f aca="true" t="shared" si="34" ref="U38:U61">S38*T38</f>
        <v>0</v>
      </c>
      <c r="V38" s="13">
        <f aca="true" t="shared" si="35" ref="V38:V61">S38+U38</f>
        <v>0</v>
      </c>
      <c r="W38" s="3"/>
      <c r="X38" s="58"/>
      <c r="Y38" s="3"/>
    </row>
    <row r="39" spans="1:25" s="4" customFormat="1" ht="11.25">
      <c r="A39" s="50">
        <v>1.38</v>
      </c>
      <c r="B39" s="3"/>
      <c r="C39" s="37"/>
      <c r="D39" s="56" t="s">
        <v>71</v>
      </c>
      <c r="E39" s="37"/>
      <c r="F39" s="63">
        <f>4*30.4</f>
        <v>121.6</v>
      </c>
      <c r="G39" s="57" t="s">
        <v>84</v>
      </c>
      <c r="H39" s="13"/>
      <c r="I39" s="13">
        <f t="shared" si="27"/>
        <v>0</v>
      </c>
      <c r="J39" s="13">
        <f t="shared" si="28"/>
        <v>0</v>
      </c>
      <c r="K39" s="13"/>
      <c r="L39" s="13">
        <f t="shared" si="29"/>
        <v>0</v>
      </c>
      <c r="M39" s="74">
        <f>2*150</f>
        <v>300</v>
      </c>
      <c r="N39" s="13">
        <f t="shared" si="30"/>
        <v>36480</v>
      </c>
      <c r="O39" s="13"/>
      <c r="P39" s="13">
        <f t="shared" si="31"/>
        <v>0</v>
      </c>
      <c r="Q39" s="38"/>
      <c r="R39" s="13">
        <f t="shared" si="32"/>
        <v>0</v>
      </c>
      <c r="S39" s="13">
        <f t="shared" si="33"/>
        <v>36480</v>
      </c>
      <c r="T39" s="38">
        <v>0.25</v>
      </c>
      <c r="U39" s="13">
        <f t="shared" si="34"/>
        <v>9120</v>
      </c>
      <c r="V39" s="13">
        <f t="shared" si="35"/>
        <v>45600</v>
      </c>
      <c r="W39" s="3"/>
      <c r="X39" s="58"/>
      <c r="Y39" s="3"/>
    </row>
    <row r="40" spans="1:25" s="4" customFormat="1" ht="11.25">
      <c r="A40" s="50">
        <v>1.39</v>
      </c>
      <c r="B40" s="3"/>
      <c r="C40" s="37"/>
      <c r="D40" s="56" t="s">
        <v>72</v>
      </c>
      <c r="E40" s="37"/>
      <c r="F40" s="63">
        <v>1</v>
      </c>
      <c r="G40" s="57" t="s">
        <v>67</v>
      </c>
      <c r="H40" s="13"/>
      <c r="I40" s="13">
        <f t="shared" si="27"/>
        <v>0</v>
      </c>
      <c r="J40" s="13">
        <f t="shared" si="28"/>
        <v>0</v>
      </c>
      <c r="K40" s="13"/>
      <c r="L40" s="13">
        <f t="shared" si="29"/>
        <v>0</v>
      </c>
      <c r="M40" s="74">
        <v>15000</v>
      </c>
      <c r="N40" s="13">
        <f t="shared" si="30"/>
        <v>15000</v>
      </c>
      <c r="O40" s="13"/>
      <c r="P40" s="13">
        <f t="shared" si="31"/>
        <v>0</v>
      </c>
      <c r="Q40" s="38"/>
      <c r="R40" s="13">
        <f t="shared" si="32"/>
        <v>0</v>
      </c>
      <c r="S40" s="13">
        <f t="shared" si="33"/>
        <v>15000</v>
      </c>
      <c r="T40" s="38">
        <v>0.25</v>
      </c>
      <c r="U40" s="13">
        <f t="shared" si="34"/>
        <v>3750</v>
      </c>
      <c r="V40" s="13">
        <f t="shared" si="35"/>
        <v>18750</v>
      </c>
      <c r="W40" s="3"/>
      <c r="X40" s="58"/>
      <c r="Y40" s="3"/>
    </row>
    <row r="41" spans="1:25" s="4" customFormat="1" ht="11.25">
      <c r="A41" s="50">
        <v>1.4</v>
      </c>
      <c r="B41" s="3"/>
      <c r="C41" s="37"/>
      <c r="D41" s="56" t="s">
        <v>80</v>
      </c>
      <c r="E41" s="37"/>
      <c r="F41" s="63">
        <v>4</v>
      </c>
      <c r="G41" s="57" t="s">
        <v>81</v>
      </c>
      <c r="H41" s="13"/>
      <c r="I41" s="13">
        <f t="shared" si="27"/>
        <v>0</v>
      </c>
      <c r="J41" s="13">
        <f t="shared" si="28"/>
        <v>0</v>
      </c>
      <c r="K41" s="13"/>
      <c r="L41" s="13">
        <f t="shared" si="29"/>
        <v>0</v>
      </c>
      <c r="M41" s="74">
        <v>2000</v>
      </c>
      <c r="N41" s="13">
        <f t="shared" si="30"/>
        <v>8000</v>
      </c>
      <c r="O41" s="13"/>
      <c r="P41" s="13">
        <f t="shared" si="31"/>
        <v>0</v>
      </c>
      <c r="Q41" s="38"/>
      <c r="R41" s="13">
        <f t="shared" si="32"/>
        <v>0</v>
      </c>
      <c r="S41" s="13">
        <f t="shared" si="33"/>
        <v>8000</v>
      </c>
      <c r="T41" s="38">
        <v>0.25</v>
      </c>
      <c r="U41" s="13">
        <f t="shared" si="34"/>
        <v>2000</v>
      </c>
      <c r="V41" s="13">
        <f t="shared" si="35"/>
        <v>10000</v>
      </c>
      <c r="W41" s="3"/>
      <c r="X41" s="58"/>
      <c r="Y41" s="3"/>
    </row>
    <row r="42" spans="1:25" s="4" customFormat="1" ht="11.25">
      <c r="A42" s="50">
        <v>1.41</v>
      </c>
      <c r="B42" s="3"/>
      <c r="C42" s="37"/>
      <c r="D42" s="56" t="s">
        <v>73</v>
      </c>
      <c r="E42" s="37" t="s">
        <v>100</v>
      </c>
      <c r="F42" s="63">
        <f>F41</f>
        <v>4</v>
      </c>
      <c r="G42" s="57" t="s">
        <v>81</v>
      </c>
      <c r="H42" s="13"/>
      <c r="I42" s="13">
        <f t="shared" si="27"/>
        <v>0</v>
      </c>
      <c r="J42" s="13">
        <f t="shared" si="28"/>
        <v>0</v>
      </c>
      <c r="K42" s="13"/>
      <c r="L42" s="13">
        <f t="shared" si="29"/>
        <v>0</v>
      </c>
      <c r="M42" s="74">
        <v>5000</v>
      </c>
      <c r="N42" s="13">
        <f t="shared" si="30"/>
        <v>20000</v>
      </c>
      <c r="O42" s="13"/>
      <c r="P42" s="13">
        <f t="shared" si="31"/>
        <v>0</v>
      </c>
      <c r="Q42" s="38"/>
      <c r="R42" s="13">
        <f t="shared" si="32"/>
        <v>0</v>
      </c>
      <c r="S42" s="13">
        <f t="shared" si="33"/>
        <v>20000</v>
      </c>
      <c r="T42" s="38">
        <v>0.25</v>
      </c>
      <c r="U42" s="13">
        <f t="shared" si="34"/>
        <v>5000</v>
      </c>
      <c r="V42" s="13">
        <f t="shared" si="35"/>
        <v>25000</v>
      </c>
      <c r="W42" s="3"/>
      <c r="X42" s="58"/>
      <c r="Y42" s="3"/>
    </row>
    <row r="43" spans="1:25" s="4" customFormat="1" ht="11.25">
      <c r="A43" s="50">
        <v>1.42</v>
      </c>
      <c r="B43" s="3"/>
      <c r="C43" s="37"/>
      <c r="D43" s="56" t="s">
        <v>79</v>
      </c>
      <c r="E43" s="37" t="s">
        <v>99</v>
      </c>
      <c r="F43" s="63">
        <f>F39</f>
        <v>121.6</v>
      </c>
      <c r="G43" s="57" t="s">
        <v>84</v>
      </c>
      <c r="H43" s="13"/>
      <c r="I43" s="13">
        <f t="shared" si="27"/>
        <v>0</v>
      </c>
      <c r="J43" s="13">
        <f t="shared" si="28"/>
        <v>0</v>
      </c>
      <c r="K43" s="13"/>
      <c r="L43" s="13">
        <f t="shared" si="29"/>
        <v>0</v>
      </c>
      <c r="M43" s="74">
        <f>6*150</f>
        <v>900</v>
      </c>
      <c r="N43" s="13">
        <f t="shared" si="30"/>
        <v>109440</v>
      </c>
      <c r="O43" s="13"/>
      <c r="P43" s="13">
        <f t="shared" si="31"/>
        <v>0</v>
      </c>
      <c r="Q43" s="38"/>
      <c r="R43" s="13">
        <f t="shared" si="32"/>
        <v>0</v>
      </c>
      <c r="S43" s="13">
        <f t="shared" si="33"/>
        <v>109440</v>
      </c>
      <c r="T43" s="38">
        <v>0.25</v>
      </c>
      <c r="U43" s="13">
        <f t="shared" si="34"/>
        <v>27360</v>
      </c>
      <c r="V43" s="13">
        <f t="shared" si="35"/>
        <v>136800</v>
      </c>
      <c r="W43" s="3"/>
      <c r="X43" s="58"/>
      <c r="Y43" s="3"/>
    </row>
    <row r="44" spans="1:25" s="4" customFormat="1" ht="11.25">
      <c r="A44" s="50">
        <v>1.43</v>
      </c>
      <c r="B44" s="3"/>
      <c r="C44" s="37"/>
      <c r="D44" s="56" t="s">
        <v>83</v>
      </c>
      <c r="E44" s="37" t="s">
        <v>99</v>
      </c>
      <c r="F44" s="63">
        <f>F41</f>
        <v>4</v>
      </c>
      <c r="G44" s="57" t="s">
        <v>81</v>
      </c>
      <c r="H44" s="13"/>
      <c r="I44" s="13">
        <f t="shared" si="27"/>
        <v>0</v>
      </c>
      <c r="J44" s="13">
        <f t="shared" si="28"/>
        <v>0</v>
      </c>
      <c r="K44" s="13"/>
      <c r="L44" s="13">
        <f t="shared" si="29"/>
        <v>0</v>
      </c>
      <c r="M44" s="74">
        <f>6*3740</f>
        <v>22440</v>
      </c>
      <c r="N44" s="13">
        <f t="shared" si="30"/>
        <v>89760</v>
      </c>
      <c r="O44" s="13"/>
      <c r="P44" s="13">
        <f t="shared" si="31"/>
        <v>0</v>
      </c>
      <c r="Q44" s="38"/>
      <c r="R44" s="13">
        <f t="shared" si="32"/>
        <v>0</v>
      </c>
      <c r="S44" s="13">
        <f t="shared" si="33"/>
        <v>89760</v>
      </c>
      <c r="T44" s="38">
        <v>0.25</v>
      </c>
      <c r="U44" s="13">
        <f t="shared" si="34"/>
        <v>22440</v>
      </c>
      <c r="V44" s="13">
        <f t="shared" si="35"/>
        <v>112200</v>
      </c>
      <c r="W44" s="3"/>
      <c r="X44" s="58"/>
      <c r="Y44" s="3"/>
    </row>
    <row r="45" spans="1:25" s="4" customFormat="1" ht="11.25">
      <c r="A45" s="50">
        <v>1.44</v>
      </c>
      <c r="B45" s="3"/>
      <c r="C45" s="37"/>
      <c r="D45" s="56" t="s">
        <v>82</v>
      </c>
      <c r="E45" s="37" t="s">
        <v>99</v>
      </c>
      <c r="F45" s="63">
        <f>F41</f>
        <v>4</v>
      </c>
      <c r="G45" s="57" t="s">
        <v>81</v>
      </c>
      <c r="H45" s="13"/>
      <c r="I45" s="13">
        <f t="shared" si="27"/>
        <v>0</v>
      </c>
      <c r="J45" s="13">
        <f t="shared" si="28"/>
        <v>0</v>
      </c>
      <c r="K45" s="13"/>
      <c r="L45" s="13">
        <f t="shared" si="29"/>
        <v>0</v>
      </c>
      <c r="M45" s="74">
        <f>6*1320</f>
        <v>7920</v>
      </c>
      <c r="N45" s="13">
        <f t="shared" si="30"/>
        <v>31680</v>
      </c>
      <c r="O45" s="13"/>
      <c r="P45" s="13">
        <f t="shared" si="31"/>
        <v>0</v>
      </c>
      <c r="Q45" s="38"/>
      <c r="R45" s="13">
        <f t="shared" si="32"/>
        <v>0</v>
      </c>
      <c r="S45" s="13">
        <f t="shared" si="33"/>
        <v>31680</v>
      </c>
      <c r="T45" s="38">
        <v>0.25</v>
      </c>
      <c r="U45" s="13">
        <f t="shared" si="34"/>
        <v>7920</v>
      </c>
      <c r="V45" s="13">
        <f t="shared" si="35"/>
        <v>39600</v>
      </c>
      <c r="W45" s="3"/>
      <c r="X45" s="58"/>
      <c r="Y45" s="3"/>
    </row>
    <row r="46" spans="1:25" s="4" customFormat="1" ht="11.25">
      <c r="A46" s="50">
        <v>1.45</v>
      </c>
      <c r="B46" s="3"/>
      <c r="C46" s="37"/>
      <c r="D46" s="56"/>
      <c r="E46" s="37"/>
      <c r="F46" s="63"/>
      <c r="G46" s="57"/>
      <c r="H46" s="13"/>
      <c r="I46" s="13">
        <f t="shared" si="27"/>
        <v>0</v>
      </c>
      <c r="J46" s="13">
        <f t="shared" si="28"/>
        <v>0</v>
      </c>
      <c r="K46" s="13"/>
      <c r="L46" s="13">
        <f t="shared" si="29"/>
        <v>0</v>
      </c>
      <c r="M46" s="74"/>
      <c r="N46" s="13">
        <f t="shared" si="30"/>
        <v>0</v>
      </c>
      <c r="O46" s="13"/>
      <c r="P46" s="13">
        <f t="shared" si="31"/>
        <v>0</v>
      </c>
      <c r="Q46" s="38"/>
      <c r="R46" s="13">
        <f t="shared" si="32"/>
        <v>0</v>
      </c>
      <c r="S46" s="13">
        <f t="shared" si="33"/>
        <v>0</v>
      </c>
      <c r="T46" s="38"/>
      <c r="U46" s="13">
        <f t="shared" si="34"/>
        <v>0</v>
      </c>
      <c r="V46" s="13">
        <f t="shared" si="35"/>
        <v>0</v>
      </c>
      <c r="W46" s="3"/>
      <c r="X46" s="58"/>
      <c r="Y46" s="3"/>
    </row>
    <row r="47" spans="1:25" s="4" customFormat="1" ht="11.25">
      <c r="A47" s="50">
        <v>1.46</v>
      </c>
      <c r="B47" s="3"/>
      <c r="C47" s="37"/>
      <c r="D47" s="59" t="s">
        <v>75</v>
      </c>
      <c r="E47" s="37" t="s">
        <v>118</v>
      </c>
      <c r="F47" s="63"/>
      <c r="G47" s="57"/>
      <c r="H47" s="13"/>
      <c r="I47" s="13">
        <f t="shared" si="27"/>
        <v>0</v>
      </c>
      <c r="J47" s="13">
        <f t="shared" si="28"/>
        <v>0</v>
      </c>
      <c r="K47" s="13"/>
      <c r="L47" s="13">
        <f t="shared" si="29"/>
        <v>0</v>
      </c>
      <c r="M47" s="74"/>
      <c r="N47" s="13">
        <f t="shared" si="30"/>
        <v>0</v>
      </c>
      <c r="O47" s="13"/>
      <c r="P47" s="13">
        <f t="shared" si="31"/>
        <v>0</v>
      </c>
      <c r="Q47" s="38"/>
      <c r="R47" s="13">
        <f t="shared" si="32"/>
        <v>0</v>
      </c>
      <c r="S47" s="13">
        <f t="shared" si="33"/>
        <v>0</v>
      </c>
      <c r="T47" s="38"/>
      <c r="U47" s="13">
        <f t="shared" si="34"/>
        <v>0</v>
      </c>
      <c r="V47" s="13">
        <f t="shared" si="35"/>
        <v>0</v>
      </c>
      <c r="W47" s="3"/>
      <c r="X47" s="58"/>
      <c r="Y47" s="3"/>
    </row>
    <row r="48" spans="1:25" s="4" customFormat="1" ht="11.25">
      <c r="A48" s="50">
        <v>1.47</v>
      </c>
      <c r="B48" s="3"/>
      <c r="C48" s="37"/>
      <c r="D48" s="56" t="s">
        <v>76</v>
      </c>
      <c r="E48" s="37" t="s">
        <v>103</v>
      </c>
      <c r="F48" s="63">
        <f>2.5*30.4</f>
        <v>76</v>
      </c>
      <c r="G48" s="57" t="s">
        <v>84</v>
      </c>
      <c r="H48" s="13"/>
      <c r="I48" s="13">
        <f t="shared" si="27"/>
        <v>0</v>
      </c>
      <c r="J48" s="13">
        <f t="shared" si="28"/>
        <v>0</v>
      </c>
      <c r="K48" s="13"/>
      <c r="L48" s="13">
        <f t="shared" si="29"/>
        <v>0</v>
      </c>
      <c r="M48" s="74">
        <f>24*110</f>
        <v>2640</v>
      </c>
      <c r="N48" s="13">
        <f t="shared" si="30"/>
        <v>200640</v>
      </c>
      <c r="O48" s="13"/>
      <c r="P48" s="13">
        <f t="shared" si="31"/>
        <v>0</v>
      </c>
      <c r="Q48" s="38"/>
      <c r="R48" s="13">
        <f t="shared" si="32"/>
        <v>0</v>
      </c>
      <c r="S48" s="13">
        <f t="shared" si="33"/>
        <v>200640</v>
      </c>
      <c r="T48" s="38">
        <v>0.25</v>
      </c>
      <c r="U48" s="13">
        <f t="shared" si="34"/>
        <v>50160</v>
      </c>
      <c r="V48" s="13">
        <f t="shared" si="35"/>
        <v>250800</v>
      </c>
      <c r="W48" s="3"/>
      <c r="X48" s="58"/>
      <c r="Y48" s="3"/>
    </row>
    <row r="49" spans="1:25" s="4" customFormat="1" ht="11.25">
      <c r="A49" s="50">
        <v>1.48</v>
      </c>
      <c r="B49" s="3"/>
      <c r="C49" s="37"/>
      <c r="D49" s="56" t="s">
        <v>78</v>
      </c>
      <c r="E49" s="37" t="s">
        <v>103</v>
      </c>
      <c r="F49" s="63">
        <f>F48</f>
        <v>76</v>
      </c>
      <c r="G49" s="57" t="s">
        <v>84</v>
      </c>
      <c r="H49" s="13"/>
      <c r="I49" s="13">
        <f t="shared" si="27"/>
        <v>0</v>
      </c>
      <c r="J49" s="13">
        <f t="shared" si="28"/>
        <v>0</v>
      </c>
      <c r="K49" s="13"/>
      <c r="L49" s="13">
        <f t="shared" si="29"/>
        <v>0</v>
      </c>
      <c r="M49" s="74">
        <f>24*110</f>
        <v>2640</v>
      </c>
      <c r="N49" s="13">
        <f t="shared" si="30"/>
        <v>200640</v>
      </c>
      <c r="O49" s="13"/>
      <c r="P49" s="13">
        <f t="shared" si="31"/>
        <v>0</v>
      </c>
      <c r="Q49" s="38"/>
      <c r="R49" s="13">
        <f t="shared" si="32"/>
        <v>0</v>
      </c>
      <c r="S49" s="13">
        <f t="shared" si="33"/>
        <v>200640</v>
      </c>
      <c r="T49" s="38">
        <v>0.25</v>
      </c>
      <c r="U49" s="13">
        <f t="shared" si="34"/>
        <v>50160</v>
      </c>
      <c r="V49" s="13">
        <f t="shared" si="35"/>
        <v>250800</v>
      </c>
      <c r="W49" s="3"/>
      <c r="X49" s="58"/>
      <c r="Y49" s="3"/>
    </row>
    <row r="50" spans="1:25" s="4" customFormat="1" ht="11.25">
      <c r="A50" s="50">
        <v>1.49</v>
      </c>
      <c r="B50" s="3"/>
      <c r="C50" s="37"/>
      <c r="D50" s="56" t="s">
        <v>77</v>
      </c>
      <c r="E50" s="37" t="s">
        <v>102</v>
      </c>
      <c r="F50" s="80">
        <f>F48*2</f>
        <v>152</v>
      </c>
      <c r="G50" s="57" t="s">
        <v>84</v>
      </c>
      <c r="H50" s="13"/>
      <c r="I50" s="13">
        <f t="shared" si="27"/>
        <v>0</v>
      </c>
      <c r="J50" s="13">
        <f t="shared" si="28"/>
        <v>0</v>
      </c>
      <c r="K50" s="13"/>
      <c r="L50" s="13">
        <f t="shared" si="29"/>
        <v>0</v>
      </c>
      <c r="M50" s="74">
        <f>24*75</f>
        <v>1800</v>
      </c>
      <c r="N50" s="13">
        <f t="shared" si="30"/>
        <v>273600</v>
      </c>
      <c r="O50" s="13"/>
      <c r="P50" s="13">
        <f t="shared" si="31"/>
        <v>0</v>
      </c>
      <c r="Q50" s="38"/>
      <c r="R50" s="13">
        <f t="shared" si="32"/>
        <v>0</v>
      </c>
      <c r="S50" s="13">
        <f t="shared" si="33"/>
        <v>273600</v>
      </c>
      <c r="T50" s="38">
        <v>0.25</v>
      </c>
      <c r="U50" s="13">
        <f t="shared" si="34"/>
        <v>68400</v>
      </c>
      <c r="V50" s="13">
        <f t="shared" si="35"/>
        <v>342000</v>
      </c>
      <c r="W50" s="3"/>
      <c r="X50" s="58"/>
      <c r="Y50" s="3"/>
    </row>
    <row r="51" spans="1:25" s="4" customFormat="1" ht="11.25">
      <c r="A51" s="50">
        <v>1.5</v>
      </c>
      <c r="B51" s="3"/>
      <c r="C51" s="37"/>
      <c r="D51" s="56"/>
      <c r="E51" s="37"/>
      <c r="F51" s="63"/>
      <c r="G51" s="57"/>
      <c r="H51" s="13"/>
      <c r="I51" s="13">
        <f t="shared" si="27"/>
        <v>0</v>
      </c>
      <c r="J51" s="13">
        <f t="shared" si="28"/>
        <v>0</v>
      </c>
      <c r="K51" s="13"/>
      <c r="L51" s="13">
        <f t="shared" si="29"/>
        <v>0</v>
      </c>
      <c r="M51" s="74"/>
      <c r="N51" s="13">
        <f t="shared" si="30"/>
        <v>0</v>
      </c>
      <c r="O51" s="13"/>
      <c r="P51" s="13">
        <f t="shared" si="31"/>
        <v>0</v>
      </c>
      <c r="Q51" s="38"/>
      <c r="R51" s="13">
        <f t="shared" si="32"/>
        <v>0</v>
      </c>
      <c r="S51" s="13">
        <f t="shared" si="33"/>
        <v>0</v>
      </c>
      <c r="T51" s="38"/>
      <c r="U51" s="13">
        <f t="shared" si="34"/>
        <v>0</v>
      </c>
      <c r="V51" s="13">
        <f t="shared" si="35"/>
        <v>0</v>
      </c>
      <c r="W51" s="3"/>
      <c r="X51" s="58"/>
      <c r="Y51" s="3"/>
    </row>
    <row r="52" spans="1:25" s="4" customFormat="1" ht="11.25">
      <c r="A52" s="50">
        <v>1.39</v>
      </c>
      <c r="B52" s="3"/>
      <c r="C52" s="37"/>
      <c r="D52" s="59" t="s">
        <v>129</v>
      </c>
      <c r="E52" s="37"/>
      <c r="F52" s="63"/>
      <c r="G52" s="57"/>
      <c r="H52" s="13"/>
      <c r="I52" s="13">
        <f>F52*H52</f>
        <v>0</v>
      </c>
      <c r="J52" s="13">
        <f>I52*$L$8</f>
        <v>0</v>
      </c>
      <c r="K52" s="13"/>
      <c r="L52" s="13">
        <f>F52*K52</f>
        <v>0</v>
      </c>
      <c r="M52" s="74"/>
      <c r="N52" s="13">
        <f>F52*M52</f>
        <v>0</v>
      </c>
      <c r="O52" s="13"/>
      <c r="P52" s="13">
        <f>F52*O52</f>
        <v>0</v>
      </c>
      <c r="Q52" s="38"/>
      <c r="R52" s="13">
        <f>(J52+L52+N52+P52)*Q52</f>
        <v>0</v>
      </c>
      <c r="S52" s="13">
        <f>J52+L52+N52+P52+R52</f>
        <v>0</v>
      </c>
      <c r="T52" s="38"/>
      <c r="U52" s="13">
        <f>S52*T52</f>
        <v>0</v>
      </c>
      <c r="V52" s="13">
        <f>S52+U52</f>
        <v>0</v>
      </c>
      <c r="W52" s="3"/>
      <c r="X52" s="58"/>
      <c r="Y52" s="3"/>
    </row>
    <row r="53" spans="1:25" s="4" customFormat="1" ht="56.25">
      <c r="A53" s="50">
        <v>1.4</v>
      </c>
      <c r="B53" s="3"/>
      <c r="C53" s="37"/>
      <c r="D53" s="56" t="s">
        <v>130</v>
      </c>
      <c r="E53" s="37" t="s">
        <v>131</v>
      </c>
      <c r="F53" s="63">
        <v>1</v>
      </c>
      <c r="G53" s="57" t="s">
        <v>66</v>
      </c>
      <c r="H53" s="13"/>
      <c r="I53" s="13">
        <f>F53*H53</f>
        <v>0</v>
      </c>
      <c r="J53" s="13">
        <f>I53*$L$8</f>
        <v>0</v>
      </c>
      <c r="K53" s="13"/>
      <c r="L53" s="13">
        <f>F53*K53</f>
        <v>0</v>
      </c>
      <c r="M53" s="74">
        <f>385000+(271*900)+(4*19712)+(80*30.4*5.5)+(4*30.4*5.5*100)</f>
        <v>788004</v>
      </c>
      <c r="N53" s="13">
        <f>F53*M53</f>
        <v>788004</v>
      </c>
      <c r="O53" s="13"/>
      <c r="P53" s="13">
        <f>F53*O53</f>
        <v>0</v>
      </c>
      <c r="Q53" s="38"/>
      <c r="R53" s="13">
        <f>(J53+L53+N53+P53)*Q53</f>
        <v>0</v>
      </c>
      <c r="S53" s="13">
        <f>J53+L53+N53+P53+R53</f>
        <v>788004</v>
      </c>
      <c r="T53" s="38">
        <v>0.25</v>
      </c>
      <c r="U53" s="13">
        <f>S53*T53</f>
        <v>197001</v>
      </c>
      <c r="V53" s="13">
        <f>S53+U53</f>
        <v>985005</v>
      </c>
      <c r="W53" s="3"/>
      <c r="X53" s="58"/>
      <c r="Y53" s="3"/>
    </row>
    <row r="54" spans="1:25" s="4" customFormat="1" ht="11.25">
      <c r="A54" s="50">
        <v>1.41</v>
      </c>
      <c r="B54" s="3"/>
      <c r="C54" s="37"/>
      <c r="D54" s="56" t="s">
        <v>132</v>
      </c>
      <c r="E54" s="37"/>
      <c r="F54" s="63">
        <v>1</v>
      </c>
      <c r="G54" s="57" t="s">
        <v>67</v>
      </c>
      <c r="H54" s="13"/>
      <c r="I54" s="13">
        <f>F54*H54</f>
        <v>0</v>
      </c>
      <c r="J54" s="13">
        <f>I54*$L$8</f>
        <v>0</v>
      </c>
      <c r="K54" s="13"/>
      <c r="L54" s="13">
        <f>F54*K54</f>
        <v>0</v>
      </c>
      <c r="M54" s="74">
        <v>31000</v>
      </c>
      <c r="N54" s="13">
        <f>F54*M54</f>
        <v>31000</v>
      </c>
      <c r="O54" s="13"/>
      <c r="P54" s="13">
        <f>F54*O54</f>
        <v>0</v>
      </c>
      <c r="Q54" s="38"/>
      <c r="R54" s="13">
        <f>(J54+L54+N54+P54)*Q54</f>
        <v>0</v>
      </c>
      <c r="S54" s="13">
        <f>J54+L54+N54+P54+R54</f>
        <v>31000</v>
      </c>
      <c r="T54" s="38">
        <v>0.25</v>
      </c>
      <c r="U54" s="13">
        <f>S54*T54</f>
        <v>7750</v>
      </c>
      <c r="V54" s="13">
        <f>S54+U54</f>
        <v>38750</v>
      </c>
      <c r="W54" s="3"/>
      <c r="X54" s="58"/>
      <c r="Y54" s="3"/>
    </row>
    <row r="55" spans="1:25" s="4" customFormat="1" ht="11.25">
      <c r="A55" s="50">
        <v>1.42</v>
      </c>
      <c r="B55" s="3"/>
      <c r="C55" s="37"/>
      <c r="D55" s="56" t="s">
        <v>133</v>
      </c>
      <c r="E55" s="37"/>
      <c r="F55" s="63">
        <v>80</v>
      </c>
      <c r="G55" s="57" t="s">
        <v>66</v>
      </c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74">
        <v>300</v>
      </c>
      <c r="N55" s="13">
        <f>F55*M55</f>
        <v>24000</v>
      </c>
      <c r="O55" s="13"/>
      <c r="P55" s="13">
        <f>F55*O55</f>
        <v>0</v>
      </c>
      <c r="Q55" s="38"/>
      <c r="R55" s="13">
        <f>(J55+L55+N55+P55)*Q55</f>
        <v>0</v>
      </c>
      <c r="S55" s="13">
        <f>J55+L55+N55+P55+R55</f>
        <v>24000</v>
      </c>
      <c r="T55" s="38">
        <v>0.25</v>
      </c>
      <c r="U55" s="13">
        <f>S55*T55</f>
        <v>6000</v>
      </c>
      <c r="V55" s="13">
        <f>S55+U55</f>
        <v>30000</v>
      </c>
      <c r="W55" s="3"/>
      <c r="X55" s="58"/>
      <c r="Y55" s="3"/>
    </row>
    <row r="56" spans="1:25" s="4" customFormat="1" ht="11.25">
      <c r="A56" s="50">
        <v>1.43</v>
      </c>
      <c r="B56" s="3"/>
      <c r="C56" s="37"/>
      <c r="D56" s="56"/>
      <c r="E56" s="37"/>
      <c r="F56" s="63"/>
      <c r="G56" s="57"/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4"/>
      <c r="N56" s="13">
        <f>F56*M56</f>
        <v>0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0</v>
      </c>
      <c r="T56" s="38"/>
      <c r="U56" s="13">
        <f>S56*T56</f>
        <v>0</v>
      </c>
      <c r="V56" s="13">
        <f>S56+U56</f>
        <v>0</v>
      </c>
      <c r="W56" s="3"/>
      <c r="X56" s="58"/>
      <c r="Y56" s="3"/>
    </row>
    <row r="57" spans="1:25" s="4" customFormat="1" ht="33.75">
      <c r="A57" s="50">
        <v>1.51</v>
      </c>
      <c r="B57" s="3"/>
      <c r="C57" s="37"/>
      <c r="D57" s="59" t="s">
        <v>86</v>
      </c>
      <c r="E57" s="37" t="s">
        <v>85</v>
      </c>
      <c r="F57" s="63"/>
      <c r="G57" s="57"/>
      <c r="H57" s="13"/>
      <c r="I57" s="13">
        <f t="shared" si="27"/>
        <v>0</v>
      </c>
      <c r="J57" s="13">
        <f t="shared" si="28"/>
        <v>0</v>
      </c>
      <c r="K57" s="13"/>
      <c r="L57" s="13">
        <f t="shared" si="29"/>
        <v>0</v>
      </c>
      <c r="M57" s="74"/>
      <c r="N57" s="13">
        <f t="shared" si="30"/>
        <v>0</v>
      </c>
      <c r="O57" s="13"/>
      <c r="P57" s="13">
        <f t="shared" si="31"/>
        <v>0</v>
      </c>
      <c r="Q57" s="38"/>
      <c r="R57" s="13">
        <f t="shared" si="32"/>
        <v>0</v>
      </c>
      <c r="S57" s="13">
        <f t="shared" si="33"/>
        <v>0</v>
      </c>
      <c r="T57" s="38"/>
      <c r="U57" s="13">
        <f t="shared" si="34"/>
        <v>0</v>
      </c>
      <c r="V57" s="13">
        <f t="shared" si="35"/>
        <v>0</v>
      </c>
      <c r="W57" s="3"/>
      <c r="X57" s="58"/>
      <c r="Y57" s="3"/>
    </row>
    <row r="58" spans="1:25" s="4" customFormat="1" ht="11.25">
      <c r="A58" s="50">
        <v>1.52</v>
      </c>
      <c r="B58" s="3"/>
      <c r="C58" s="37"/>
      <c r="D58" s="56" t="s">
        <v>141</v>
      </c>
      <c r="E58" s="37" t="s">
        <v>87</v>
      </c>
      <c r="F58" s="80">
        <f>F59/27000</f>
        <v>31.502666666666666</v>
      </c>
      <c r="G58" s="57" t="s">
        <v>137</v>
      </c>
      <c r="H58" s="13"/>
      <c r="I58" s="13">
        <f t="shared" si="27"/>
        <v>0</v>
      </c>
      <c r="J58" s="13">
        <f t="shared" si="28"/>
        <v>0</v>
      </c>
      <c r="K58" s="13"/>
      <c r="L58" s="13">
        <f t="shared" si="29"/>
        <v>0</v>
      </c>
      <c r="M58" s="74">
        <f>(71.4+100)*4</f>
        <v>685.6</v>
      </c>
      <c r="N58" s="13">
        <f t="shared" si="30"/>
        <v>21598.22826666667</v>
      </c>
      <c r="O58" s="13"/>
      <c r="P58" s="13">
        <f t="shared" si="31"/>
        <v>0</v>
      </c>
      <c r="Q58" s="38"/>
      <c r="R58" s="13">
        <f t="shared" si="32"/>
        <v>0</v>
      </c>
      <c r="S58" s="13">
        <f t="shared" si="33"/>
        <v>21598.22826666667</v>
      </c>
      <c r="T58" s="38">
        <v>0.25</v>
      </c>
      <c r="U58" s="13">
        <f t="shared" si="34"/>
        <v>5399.557066666667</v>
      </c>
      <c r="V58" s="13">
        <f t="shared" si="35"/>
        <v>26997.785333333337</v>
      </c>
      <c r="W58" s="58"/>
      <c r="X58" s="58"/>
      <c r="Y58" s="3"/>
    </row>
    <row r="59" spans="1:25" s="4" customFormat="1" ht="11.25">
      <c r="A59" s="50">
        <v>1.53</v>
      </c>
      <c r="B59" s="3"/>
      <c r="C59" s="37"/>
      <c r="D59" s="65"/>
      <c r="E59" s="4" t="s">
        <v>114</v>
      </c>
      <c r="F59" s="81">
        <f>752938+1183+9024+1115+20000+4380+11600+2800+70700+23460+70700+30800+7943+127200+11200+207192-290730-93600-117333</f>
        <v>850572</v>
      </c>
      <c r="G59" s="67" t="s">
        <v>101</v>
      </c>
      <c r="H59" s="13"/>
      <c r="I59" s="13">
        <f t="shared" si="27"/>
        <v>0</v>
      </c>
      <c r="J59" s="13">
        <f t="shared" si="28"/>
        <v>0</v>
      </c>
      <c r="K59" s="13"/>
      <c r="L59" s="13">
        <f t="shared" si="29"/>
        <v>0</v>
      </c>
      <c r="M59" s="74"/>
      <c r="N59" s="13">
        <f t="shared" si="30"/>
        <v>0</v>
      </c>
      <c r="O59" s="13"/>
      <c r="P59" s="13">
        <f t="shared" si="31"/>
        <v>0</v>
      </c>
      <c r="Q59" s="38"/>
      <c r="R59" s="13">
        <f t="shared" si="32"/>
        <v>0</v>
      </c>
      <c r="S59" s="13">
        <f t="shared" si="33"/>
        <v>0</v>
      </c>
      <c r="T59" s="38"/>
      <c r="U59" s="13">
        <f t="shared" si="34"/>
        <v>0</v>
      </c>
      <c r="V59" s="13">
        <f t="shared" si="35"/>
        <v>0</v>
      </c>
      <c r="W59" s="3"/>
      <c r="X59" s="58"/>
      <c r="Y59" s="3"/>
    </row>
    <row r="60" spans="1:25" s="4" customFormat="1" ht="11.25">
      <c r="A60" s="50">
        <v>1.54</v>
      </c>
      <c r="B60" s="3"/>
      <c r="C60" s="37"/>
      <c r="D60" s="65"/>
      <c r="E60" s="37"/>
      <c r="F60" s="66"/>
      <c r="G60" s="67"/>
      <c r="H60" s="13"/>
      <c r="I60" s="13">
        <f t="shared" si="27"/>
        <v>0</v>
      </c>
      <c r="J60" s="13">
        <f t="shared" si="28"/>
        <v>0</v>
      </c>
      <c r="K60" s="13"/>
      <c r="L60" s="13">
        <f t="shared" si="29"/>
        <v>0</v>
      </c>
      <c r="M60" s="74"/>
      <c r="N60" s="13">
        <f t="shared" si="30"/>
        <v>0</v>
      </c>
      <c r="O60" s="13"/>
      <c r="P60" s="13">
        <f t="shared" si="31"/>
        <v>0</v>
      </c>
      <c r="Q60" s="38"/>
      <c r="R60" s="13">
        <f t="shared" si="32"/>
        <v>0</v>
      </c>
      <c r="S60" s="13">
        <f t="shared" si="33"/>
        <v>0</v>
      </c>
      <c r="T60" s="38"/>
      <c r="U60" s="13">
        <f t="shared" si="34"/>
        <v>0</v>
      </c>
      <c r="V60" s="13">
        <f t="shared" si="35"/>
        <v>0</v>
      </c>
      <c r="W60" s="3"/>
      <c r="X60" s="58"/>
      <c r="Y60" s="3"/>
    </row>
    <row r="61" spans="1:25" s="4" customFormat="1" ht="11.25">
      <c r="A61" s="50">
        <v>1.55</v>
      </c>
      <c r="B61" s="3"/>
      <c r="C61" s="37"/>
      <c r="D61" s="56"/>
      <c r="E61" s="37"/>
      <c r="F61" s="63"/>
      <c r="G61" s="57"/>
      <c r="H61" s="13"/>
      <c r="I61" s="13">
        <f t="shared" si="27"/>
        <v>0</v>
      </c>
      <c r="J61" s="13">
        <f t="shared" si="28"/>
        <v>0</v>
      </c>
      <c r="K61" s="13"/>
      <c r="L61" s="13">
        <f t="shared" si="29"/>
        <v>0</v>
      </c>
      <c r="M61" s="74"/>
      <c r="N61" s="13">
        <f t="shared" si="30"/>
        <v>0</v>
      </c>
      <c r="O61" s="13"/>
      <c r="P61" s="13">
        <f t="shared" si="31"/>
        <v>0</v>
      </c>
      <c r="Q61" s="38"/>
      <c r="R61" s="13">
        <f t="shared" si="32"/>
        <v>0</v>
      </c>
      <c r="S61" s="13">
        <f t="shared" si="33"/>
        <v>0</v>
      </c>
      <c r="T61" s="38"/>
      <c r="U61" s="13">
        <f t="shared" si="34"/>
        <v>0</v>
      </c>
      <c r="V61" s="13">
        <f t="shared" si="35"/>
        <v>0</v>
      </c>
      <c r="W61" s="3"/>
      <c r="X61" s="58"/>
      <c r="Y61" s="3"/>
    </row>
    <row r="62" spans="2:25" s="14" customFormat="1" ht="24.75" customHeight="1">
      <c r="B62" s="85" t="s">
        <v>37</v>
      </c>
      <c r="C62" s="85"/>
      <c r="D62" s="85"/>
      <c r="E62" s="85"/>
      <c r="F62" s="85"/>
      <c r="G62" s="85"/>
      <c r="H62" s="85"/>
      <c r="I62" s="36">
        <f>SUM(I14:I61)</f>
        <v>0</v>
      </c>
      <c r="J62" s="36">
        <f>SUM(J14:J61)</f>
        <v>0</v>
      </c>
      <c r="K62" s="48"/>
      <c r="L62" s="36">
        <f>SUM(L14:L61)</f>
        <v>0</v>
      </c>
      <c r="M62" s="76"/>
      <c r="N62" s="36">
        <f>SUM(N14:N61)</f>
        <v>7378190.443733334</v>
      </c>
      <c r="O62" s="48"/>
      <c r="P62" s="36">
        <f>SUM(P14:P61)</f>
        <v>0</v>
      </c>
      <c r="Q62" s="41">
        <f>R62/S62</f>
        <v>0</v>
      </c>
      <c r="R62" s="36">
        <f>SUM(R14:R61)</f>
        <v>0</v>
      </c>
      <c r="S62" s="36">
        <f>SUM(S14:S61)</f>
        <v>7378190.443733334</v>
      </c>
      <c r="T62" s="41">
        <f>U62/S62</f>
        <v>0.25</v>
      </c>
      <c r="U62" s="36">
        <f>SUM(U14:U61)</f>
        <v>1844547.6109333334</v>
      </c>
      <c r="V62" s="36">
        <f>SUM(V14:V61)</f>
        <v>9222738.054666666</v>
      </c>
      <c r="W62" s="4"/>
      <c r="X62" s="1"/>
      <c r="Y62" s="4"/>
    </row>
    <row r="63" spans="2:25" s="4" customFormat="1" ht="4.5" customHeight="1">
      <c r="B63" s="45"/>
      <c r="C63" s="45"/>
      <c r="D63" s="45"/>
      <c r="E63" s="45"/>
      <c r="F63" s="46"/>
      <c r="G63" s="62"/>
      <c r="H63" s="46"/>
      <c r="I63" s="46"/>
      <c r="J63" s="46"/>
      <c r="K63" s="46"/>
      <c r="L63" s="46"/>
      <c r="M63" s="73"/>
      <c r="N63" s="46"/>
      <c r="O63" s="46"/>
      <c r="P63" s="46"/>
      <c r="Q63" s="47"/>
      <c r="R63" s="46"/>
      <c r="S63" s="46"/>
      <c r="T63" s="47"/>
      <c r="U63" s="46"/>
      <c r="V63" s="46"/>
      <c r="W63" s="45"/>
      <c r="X63" s="60"/>
      <c r="Y63" s="45"/>
    </row>
    <row r="64" spans="2:25" s="4" customFormat="1" ht="11.25">
      <c r="B64" s="49" t="s">
        <v>45</v>
      </c>
      <c r="C64" s="45"/>
      <c r="D64" s="45"/>
      <c r="E64" s="45"/>
      <c r="F64" s="46"/>
      <c r="G64" s="62"/>
      <c r="H64" s="46"/>
      <c r="I64" s="46"/>
      <c r="J64" s="46"/>
      <c r="K64" s="46"/>
      <c r="L64" s="46"/>
      <c r="M64" s="73"/>
      <c r="N64" s="46"/>
      <c r="O64" s="46"/>
      <c r="P64" s="46"/>
      <c r="Q64" s="47"/>
      <c r="R64" s="46"/>
      <c r="S64" s="46"/>
      <c r="T64" s="47"/>
      <c r="U64" s="46"/>
      <c r="V64" s="46"/>
      <c r="W64" s="45"/>
      <c r="X64" s="60"/>
      <c r="Y64" s="45"/>
    </row>
    <row r="65" spans="2:25" s="4" customFormat="1" ht="4.5" customHeight="1">
      <c r="B65" s="45"/>
      <c r="C65" s="45"/>
      <c r="D65" s="45"/>
      <c r="E65" s="45"/>
      <c r="F65" s="46"/>
      <c r="G65" s="62"/>
      <c r="H65" s="46"/>
      <c r="I65" s="46"/>
      <c r="J65" s="46"/>
      <c r="K65" s="46"/>
      <c r="L65" s="46"/>
      <c r="M65" s="73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60"/>
      <c r="Y65" s="45"/>
    </row>
    <row r="66" spans="1:25" s="4" customFormat="1" ht="22.5">
      <c r="A66" s="50">
        <v>2.01</v>
      </c>
      <c r="B66" s="3"/>
      <c r="C66" s="3"/>
      <c r="D66" s="3" t="s">
        <v>61</v>
      </c>
      <c r="E66" s="3" t="s">
        <v>144</v>
      </c>
      <c r="F66" s="63">
        <f>45*30.4*4</f>
        <v>5472</v>
      </c>
      <c r="G66" s="57" t="s">
        <v>69</v>
      </c>
      <c r="H66" s="13"/>
      <c r="I66" s="13">
        <f>F66*H66</f>
        <v>0</v>
      </c>
      <c r="J66" s="13">
        <f aca="true" t="shared" si="36" ref="J66:J82">I66*$L$8</f>
        <v>0</v>
      </c>
      <c r="K66" s="13"/>
      <c r="L66" s="13">
        <f>F66*K66</f>
        <v>0</v>
      </c>
      <c r="M66" s="75">
        <v>593.67</v>
      </c>
      <c r="N66" s="13">
        <f>F66*M66</f>
        <v>3248562.2399999998</v>
      </c>
      <c r="O66" s="13"/>
      <c r="P66" s="13">
        <f>F66*O66</f>
        <v>0</v>
      </c>
      <c r="Q66" s="38"/>
      <c r="R66" s="13">
        <f>(J66+L66+N66+P66)*Q66</f>
        <v>0</v>
      </c>
      <c r="S66" s="13">
        <f>J66+L66+N66+P66+R66</f>
        <v>3248562.2399999998</v>
      </c>
      <c r="T66" s="38">
        <v>0.25</v>
      </c>
      <c r="U66" s="13">
        <f>S66*T66</f>
        <v>812140.5599999999</v>
      </c>
      <c r="V66" s="13">
        <f>S66+U66</f>
        <v>4060702.8</v>
      </c>
      <c r="W66" s="3"/>
      <c r="X66" s="58"/>
      <c r="Y66" s="3"/>
    </row>
    <row r="67" spans="1:25" s="4" customFormat="1" ht="22.5">
      <c r="A67" s="50">
        <v>2.02</v>
      </c>
      <c r="B67" s="3"/>
      <c r="C67" s="3"/>
      <c r="D67" s="37" t="s">
        <v>46</v>
      </c>
      <c r="E67" s="3"/>
      <c r="F67" s="64">
        <v>0.03</v>
      </c>
      <c r="G67" s="57"/>
      <c r="H67" s="13"/>
      <c r="I67" s="13">
        <f>F67*H67</f>
        <v>0</v>
      </c>
      <c r="J67" s="13">
        <f t="shared" si="36"/>
        <v>0</v>
      </c>
      <c r="K67" s="13"/>
      <c r="L67" s="13">
        <f>F67*K67</f>
        <v>0</v>
      </c>
      <c r="M67" s="75">
        <f>V62</f>
        <v>9222738.054666666</v>
      </c>
      <c r="N67" s="13">
        <f>F67*M67</f>
        <v>276682.14164</v>
      </c>
      <c r="O67" s="13"/>
      <c r="P67" s="13">
        <f>F67*O67</f>
        <v>0</v>
      </c>
      <c r="Q67" s="38"/>
      <c r="R67" s="13">
        <f>(J67+L67+N67+P67)*Q67</f>
        <v>0</v>
      </c>
      <c r="S67" s="13">
        <f>J67+L67+N67+P67+R67</f>
        <v>276682.14164</v>
      </c>
      <c r="T67" s="38">
        <v>0.25</v>
      </c>
      <c r="U67" s="13">
        <f>S67*T67</f>
        <v>69170.53541</v>
      </c>
      <c r="V67" s="13">
        <f>S67+U67</f>
        <v>345852.67705</v>
      </c>
      <c r="W67" s="3"/>
      <c r="X67" s="58"/>
      <c r="Y67" s="3"/>
    </row>
    <row r="68" spans="1:25" s="4" customFormat="1" ht="11.25">
      <c r="A68" s="50">
        <v>2.03</v>
      </c>
      <c r="B68" s="3"/>
      <c r="C68" s="3"/>
      <c r="D68" s="3" t="s">
        <v>68</v>
      </c>
      <c r="E68" s="3" t="s">
        <v>142</v>
      </c>
      <c r="F68" s="63">
        <v>21</v>
      </c>
      <c r="G68" s="57" t="s">
        <v>84</v>
      </c>
      <c r="H68" s="13"/>
      <c r="I68" s="13">
        <f aca="true" t="shared" si="37" ref="I68:I82">F68*H68</f>
        <v>0</v>
      </c>
      <c r="J68" s="13">
        <f t="shared" si="36"/>
        <v>0</v>
      </c>
      <c r="K68" s="13"/>
      <c r="L68" s="13">
        <f aca="true" t="shared" si="38" ref="L68:L82">F68*K68</f>
        <v>0</v>
      </c>
      <c r="M68" s="82">
        <f>446.2*12</f>
        <v>5354.4</v>
      </c>
      <c r="N68" s="13">
        <f>F68*M68</f>
        <v>112442.4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112442.4</v>
      </c>
      <c r="T68" s="38">
        <v>0.25</v>
      </c>
      <c r="U68" s="13">
        <f>S68*T68</f>
        <v>28110.6</v>
      </c>
      <c r="V68" s="13">
        <f>S68+U68</f>
        <v>140553</v>
      </c>
      <c r="W68" s="3"/>
      <c r="X68" s="58"/>
      <c r="Y68" s="3"/>
    </row>
    <row r="69" spans="1:25" s="4" customFormat="1" ht="11.25">
      <c r="A69" s="50">
        <v>2.04</v>
      </c>
      <c r="B69" s="3"/>
      <c r="C69" s="3"/>
      <c r="D69" s="3" t="s">
        <v>138</v>
      </c>
      <c r="E69" s="3" t="s">
        <v>139</v>
      </c>
      <c r="F69" s="63">
        <f>5*30.4</f>
        <v>152</v>
      </c>
      <c r="G69" s="57" t="s">
        <v>84</v>
      </c>
      <c r="H69" s="13"/>
      <c r="I69" s="13">
        <f>F69*H69</f>
        <v>0</v>
      </c>
      <c r="J69" s="13">
        <f>I69*$L$8</f>
        <v>0</v>
      </c>
      <c r="K69" s="13"/>
      <c r="L69" s="13">
        <f>F69*K69</f>
        <v>0</v>
      </c>
      <c r="M69" s="82">
        <f>223.1*12</f>
        <v>2677.2</v>
      </c>
      <c r="N69" s="13">
        <f>F69*M69</f>
        <v>406934.39999999997</v>
      </c>
      <c r="O69" s="13"/>
      <c r="P69" s="13">
        <f>F69*O69</f>
        <v>0</v>
      </c>
      <c r="Q69" s="38"/>
      <c r="R69" s="13">
        <f>(J69+L69+N69+P69)*Q69</f>
        <v>0</v>
      </c>
      <c r="S69" s="13">
        <f>J69+L69+N69+P69+R69</f>
        <v>406934.39999999997</v>
      </c>
      <c r="T69" s="38">
        <v>0.25</v>
      </c>
      <c r="U69" s="13">
        <f>S69*T69</f>
        <v>101733.59999999999</v>
      </c>
      <c r="V69" s="13">
        <f>S69+U69</f>
        <v>508667.99999999994</v>
      </c>
      <c r="W69" s="3"/>
      <c r="X69" s="58"/>
      <c r="Y69" s="3"/>
    </row>
    <row r="70" spans="1:25" s="4" customFormat="1" ht="22.5">
      <c r="A70" s="50">
        <v>2.04</v>
      </c>
      <c r="B70" s="3"/>
      <c r="C70" s="3"/>
      <c r="D70" s="3" t="s">
        <v>47</v>
      </c>
      <c r="E70" s="3" t="s">
        <v>113</v>
      </c>
      <c r="F70" s="63"/>
      <c r="G70" s="2"/>
      <c r="H70" s="13"/>
      <c r="I70" s="13">
        <f t="shared" si="37"/>
        <v>0</v>
      </c>
      <c r="J70" s="13">
        <f t="shared" si="36"/>
        <v>0</v>
      </c>
      <c r="K70" s="13"/>
      <c r="L70" s="13">
        <f t="shared" si="38"/>
        <v>0</v>
      </c>
      <c r="M70" s="74"/>
      <c r="N70" s="13">
        <f aca="true" t="shared" si="39" ref="N70:N82">F70*M70</f>
        <v>0</v>
      </c>
      <c r="O70" s="13"/>
      <c r="P70" s="13">
        <f aca="true" t="shared" si="40" ref="P70:P82">F70*O70</f>
        <v>0</v>
      </c>
      <c r="Q70" s="38"/>
      <c r="R70" s="13">
        <f aca="true" t="shared" si="41" ref="R70:R82">(J70+L70+N70+P70)*Q70</f>
        <v>0</v>
      </c>
      <c r="S70" s="13">
        <f aca="true" t="shared" si="42" ref="S70:S82">J70+L70+N70+P70+R70</f>
        <v>0</v>
      </c>
      <c r="T70" s="38"/>
      <c r="U70" s="13">
        <f aca="true" t="shared" si="43" ref="U70:U82">S70*T70</f>
        <v>0</v>
      </c>
      <c r="V70" s="13">
        <f aca="true" t="shared" si="44" ref="V70:V82">S70+U70</f>
        <v>0</v>
      </c>
      <c r="W70" s="3"/>
      <c r="X70" s="58"/>
      <c r="Y70" s="3"/>
    </row>
    <row r="71" spans="1:25" s="4" customFormat="1" ht="11.25">
      <c r="A71" s="50">
        <v>2.05</v>
      </c>
      <c r="B71" s="3"/>
      <c r="C71" s="3"/>
      <c r="D71" s="3" t="s">
        <v>48</v>
      </c>
      <c r="E71" s="3" t="s">
        <v>113</v>
      </c>
      <c r="F71" s="63"/>
      <c r="G71" s="2"/>
      <c r="H71" s="13"/>
      <c r="I71" s="13">
        <f t="shared" si="37"/>
        <v>0</v>
      </c>
      <c r="J71" s="13">
        <f t="shared" si="36"/>
        <v>0</v>
      </c>
      <c r="K71" s="13"/>
      <c r="L71" s="13">
        <f t="shared" si="38"/>
        <v>0</v>
      </c>
      <c r="M71" s="74"/>
      <c r="N71" s="13">
        <f t="shared" si="39"/>
        <v>0</v>
      </c>
      <c r="O71" s="13"/>
      <c r="P71" s="13">
        <f t="shared" si="40"/>
        <v>0</v>
      </c>
      <c r="Q71" s="38"/>
      <c r="R71" s="13">
        <f t="shared" si="41"/>
        <v>0</v>
      </c>
      <c r="S71" s="13">
        <f t="shared" si="42"/>
        <v>0</v>
      </c>
      <c r="T71" s="38"/>
      <c r="U71" s="13">
        <f t="shared" si="43"/>
        <v>0</v>
      </c>
      <c r="V71" s="13">
        <f t="shared" si="44"/>
        <v>0</v>
      </c>
      <c r="W71" s="3"/>
      <c r="X71" s="58"/>
      <c r="Y71" s="3"/>
    </row>
    <row r="72" spans="1:25" s="4" customFormat="1" ht="11.25">
      <c r="A72" s="50">
        <v>2.06</v>
      </c>
      <c r="B72" s="3"/>
      <c r="C72" s="3"/>
      <c r="D72" s="3" t="s">
        <v>49</v>
      </c>
      <c r="E72" s="3" t="s">
        <v>113</v>
      </c>
      <c r="F72" s="63"/>
      <c r="G72" s="2"/>
      <c r="H72" s="13"/>
      <c r="I72" s="13">
        <f t="shared" si="37"/>
        <v>0</v>
      </c>
      <c r="J72" s="13">
        <f t="shared" si="36"/>
        <v>0</v>
      </c>
      <c r="K72" s="13"/>
      <c r="L72" s="13">
        <f t="shared" si="38"/>
        <v>0</v>
      </c>
      <c r="M72" s="74"/>
      <c r="N72" s="13">
        <f t="shared" si="39"/>
        <v>0</v>
      </c>
      <c r="O72" s="13"/>
      <c r="P72" s="13">
        <f t="shared" si="40"/>
        <v>0</v>
      </c>
      <c r="Q72" s="38"/>
      <c r="R72" s="13">
        <f t="shared" si="41"/>
        <v>0</v>
      </c>
      <c r="S72" s="13">
        <f t="shared" si="42"/>
        <v>0</v>
      </c>
      <c r="T72" s="38"/>
      <c r="U72" s="13">
        <f t="shared" si="43"/>
        <v>0</v>
      </c>
      <c r="V72" s="13">
        <f t="shared" si="44"/>
        <v>0</v>
      </c>
      <c r="W72" s="3"/>
      <c r="X72" s="58"/>
      <c r="Y72" s="3"/>
    </row>
    <row r="73" spans="1:25" s="4" customFormat="1" ht="49.5" customHeight="1">
      <c r="A73" s="50">
        <v>2.07</v>
      </c>
      <c r="B73" s="3"/>
      <c r="C73" s="3"/>
      <c r="D73" s="3" t="s">
        <v>50</v>
      </c>
      <c r="E73" s="3" t="s">
        <v>104</v>
      </c>
      <c r="F73" s="63">
        <f>(60*9)</f>
        <v>540</v>
      </c>
      <c r="G73" s="57" t="s">
        <v>98</v>
      </c>
      <c r="H73" s="13"/>
      <c r="I73" s="13">
        <f>F73*H73</f>
        <v>0</v>
      </c>
      <c r="J73" s="13">
        <f t="shared" si="36"/>
        <v>0</v>
      </c>
      <c r="K73" s="13"/>
      <c r="L73" s="13">
        <f>F73*K73</f>
        <v>0</v>
      </c>
      <c r="M73" s="75">
        <f>984+(2*80)</f>
        <v>1144</v>
      </c>
      <c r="N73" s="13">
        <f>F73*M73</f>
        <v>617760</v>
      </c>
      <c r="O73" s="13"/>
      <c r="P73" s="13">
        <f>F73*O73</f>
        <v>0</v>
      </c>
      <c r="Q73" s="38"/>
      <c r="R73" s="13">
        <f>(J73+L73+N73+P73)*Q73</f>
        <v>0</v>
      </c>
      <c r="S73" s="13">
        <f>J73+L73+N73+P73+R73</f>
        <v>617760</v>
      </c>
      <c r="T73" s="38">
        <v>0.25</v>
      </c>
      <c r="U73" s="13">
        <f>S73*T73</f>
        <v>154440</v>
      </c>
      <c r="V73" s="13">
        <f>S73+U73</f>
        <v>772200</v>
      </c>
      <c r="W73" s="3"/>
      <c r="X73" s="58"/>
      <c r="Y73" s="3"/>
    </row>
    <row r="74" spans="1:25" s="4" customFormat="1" ht="11.25">
      <c r="A74" s="50">
        <v>2.08</v>
      </c>
      <c r="B74" s="3"/>
      <c r="C74" s="3"/>
      <c r="D74" s="3" t="s">
        <v>51</v>
      </c>
      <c r="E74" s="3" t="s">
        <v>113</v>
      </c>
      <c r="F74" s="63"/>
      <c r="G74" s="2"/>
      <c r="H74" s="13"/>
      <c r="I74" s="13">
        <f>F74*H74</f>
        <v>0</v>
      </c>
      <c r="J74" s="13">
        <f t="shared" si="36"/>
        <v>0</v>
      </c>
      <c r="K74" s="13"/>
      <c r="L74" s="13">
        <f>F74*K74</f>
        <v>0</v>
      </c>
      <c r="M74" s="74"/>
      <c r="N74" s="13">
        <f>F74*M74</f>
        <v>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0</v>
      </c>
      <c r="T74" s="38"/>
      <c r="U74" s="13">
        <f>S74*T74</f>
        <v>0</v>
      </c>
      <c r="V74" s="13">
        <f>S74+U74</f>
        <v>0</v>
      </c>
      <c r="W74" s="3"/>
      <c r="X74" s="58"/>
      <c r="Y74" s="3"/>
    </row>
    <row r="75" spans="1:25" s="4" customFormat="1" ht="11.25">
      <c r="A75" s="50">
        <v>2.09</v>
      </c>
      <c r="B75" s="3"/>
      <c r="C75" s="3"/>
      <c r="D75" s="3" t="s">
        <v>52</v>
      </c>
      <c r="E75" s="3" t="s">
        <v>115</v>
      </c>
      <c r="F75" s="63">
        <v>4</v>
      </c>
      <c r="G75" s="57" t="s">
        <v>137</v>
      </c>
      <c r="H75" s="13"/>
      <c r="I75" s="13">
        <f>F75*H75</f>
        <v>0</v>
      </c>
      <c r="J75" s="13">
        <f t="shared" si="36"/>
        <v>0</v>
      </c>
      <c r="K75" s="13"/>
      <c r="L75" s="13">
        <f>F75*K75</f>
        <v>0</v>
      </c>
      <c r="M75" s="75">
        <f>9361.68*2</f>
        <v>18723.36</v>
      </c>
      <c r="N75" s="13">
        <f>F75*M75</f>
        <v>74893.44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74893.44</v>
      </c>
      <c r="T75" s="38">
        <v>0.25</v>
      </c>
      <c r="U75" s="13">
        <f>S75*T75</f>
        <v>18723.36</v>
      </c>
      <c r="V75" s="13">
        <f>S75+U75</f>
        <v>93616.8</v>
      </c>
      <c r="W75" s="3"/>
      <c r="X75" s="58"/>
      <c r="Y75" s="3"/>
    </row>
    <row r="76" spans="1:25" s="4" customFormat="1" ht="11.25">
      <c r="A76" s="50">
        <v>2.1</v>
      </c>
      <c r="B76" s="3"/>
      <c r="C76" s="3"/>
      <c r="D76" s="3" t="s">
        <v>53</v>
      </c>
      <c r="E76" s="3" t="s">
        <v>113</v>
      </c>
      <c r="F76" s="63"/>
      <c r="G76" s="2"/>
      <c r="H76" s="13"/>
      <c r="I76" s="13">
        <f>F76*H76</f>
        <v>0</v>
      </c>
      <c r="J76" s="13">
        <f t="shared" si="36"/>
        <v>0</v>
      </c>
      <c r="K76" s="13"/>
      <c r="L76" s="13">
        <f>F76*K76</f>
        <v>0</v>
      </c>
      <c r="M76" s="74"/>
      <c r="N76" s="13">
        <f>F76*M76</f>
        <v>0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0</v>
      </c>
      <c r="T76" s="38"/>
      <c r="U76" s="13">
        <f>S76*T76</f>
        <v>0</v>
      </c>
      <c r="V76" s="13">
        <f>S76+U76</f>
        <v>0</v>
      </c>
      <c r="W76" s="3"/>
      <c r="X76" s="58"/>
      <c r="Y76" s="3"/>
    </row>
    <row r="77" spans="1:25" s="4" customFormat="1" ht="11.25">
      <c r="A77" s="50">
        <v>2.11</v>
      </c>
      <c r="B77" s="3"/>
      <c r="C77" s="3"/>
      <c r="D77" s="3" t="s">
        <v>54</v>
      </c>
      <c r="E77" s="3" t="s">
        <v>113</v>
      </c>
      <c r="F77" s="63"/>
      <c r="G77" s="2"/>
      <c r="H77" s="13"/>
      <c r="I77" s="13">
        <f>F77*H77</f>
        <v>0</v>
      </c>
      <c r="J77" s="13">
        <f t="shared" si="36"/>
        <v>0</v>
      </c>
      <c r="K77" s="13"/>
      <c r="L77" s="13">
        <f>F77*K77</f>
        <v>0</v>
      </c>
      <c r="M77" s="74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58"/>
      <c r="Y77" s="3"/>
    </row>
    <row r="78" spans="1:25" s="4" customFormat="1" ht="11.25">
      <c r="A78" s="50">
        <v>2.12</v>
      </c>
      <c r="B78" s="3"/>
      <c r="C78" s="3"/>
      <c r="D78" s="3" t="s">
        <v>55</v>
      </c>
      <c r="E78" s="3" t="s">
        <v>113</v>
      </c>
      <c r="F78" s="63"/>
      <c r="G78" s="2"/>
      <c r="H78" s="13"/>
      <c r="I78" s="13">
        <f t="shared" si="37"/>
        <v>0</v>
      </c>
      <c r="J78" s="13">
        <f t="shared" si="36"/>
        <v>0</v>
      </c>
      <c r="K78" s="13"/>
      <c r="L78" s="13">
        <f t="shared" si="38"/>
        <v>0</v>
      </c>
      <c r="M78" s="74"/>
      <c r="N78" s="13">
        <f t="shared" si="39"/>
        <v>0</v>
      </c>
      <c r="O78" s="13"/>
      <c r="P78" s="13">
        <f t="shared" si="40"/>
        <v>0</v>
      </c>
      <c r="Q78" s="38"/>
      <c r="R78" s="13">
        <f t="shared" si="41"/>
        <v>0</v>
      </c>
      <c r="S78" s="13">
        <f t="shared" si="42"/>
        <v>0</v>
      </c>
      <c r="T78" s="38"/>
      <c r="U78" s="13">
        <f t="shared" si="43"/>
        <v>0</v>
      </c>
      <c r="V78" s="13">
        <f t="shared" si="44"/>
        <v>0</v>
      </c>
      <c r="W78" s="3"/>
      <c r="X78" s="58"/>
      <c r="Y78" s="3"/>
    </row>
    <row r="79" spans="1:25" s="4" customFormat="1" ht="22.5">
      <c r="A79" s="50">
        <v>2.13</v>
      </c>
      <c r="B79" s="3"/>
      <c r="C79" s="3"/>
      <c r="D79" s="3" t="s">
        <v>56</v>
      </c>
      <c r="E79" s="3"/>
      <c r="F79" s="64">
        <v>0.02</v>
      </c>
      <c r="G79" s="57"/>
      <c r="H79" s="13"/>
      <c r="I79" s="13">
        <f t="shared" si="37"/>
        <v>0</v>
      </c>
      <c r="J79" s="13">
        <f t="shared" si="36"/>
        <v>0</v>
      </c>
      <c r="K79" s="13"/>
      <c r="L79" s="13">
        <f t="shared" si="38"/>
        <v>0</v>
      </c>
      <c r="M79" s="75">
        <f>V62</f>
        <v>9222738.054666666</v>
      </c>
      <c r="N79" s="13">
        <f t="shared" si="39"/>
        <v>184454.76109333333</v>
      </c>
      <c r="O79" s="13"/>
      <c r="P79" s="13">
        <f t="shared" si="40"/>
        <v>0</v>
      </c>
      <c r="Q79" s="38"/>
      <c r="R79" s="13">
        <f t="shared" si="41"/>
        <v>0</v>
      </c>
      <c r="S79" s="13">
        <f t="shared" si="42"/>
        <v>184454.76109333333</v>
      </c>
      <c r="T79" s="38">
        <v>0.25</v>
      </c>
      <c r="U79" s="13">
        <f t="shared" si="43"/>
        <v>46113.69027333333</v>
      </c>
      <c r="V79" s="13">
        <f t="shared" si="44"/>
        <v>230568.45136666668</v>
      </c>
      <c r="W79" s="3"/>
      <c r="X79" s="58"/>
      <c r="Y79" s="3"/>
    </row>
    <row r="80" spans="1:25" s="4" customFormat="1" ht="22.5">
      <c r="A80" s="50">
        <v>2.14</v>
      </c>
      <c r="B80" s="3"/>
      <c r="C80" s="3"/>
      <c r="D80" s="3" t="s">
        <v>62</v>
      </c>
      <c r="E80" s="3"/>
      <c r="F80" s="64">
        <v>0.02</v>
      </c>
      <c r="G80" s="2"/>
      <c r="H80" s="13"/>
      <c r="I80" s="13">
        <f t="shared" si="37"/>
        <v>0</v>
      </c>
      <c r="J80" s="13">
        <f t="shared" si="36"/>
        <v>0</v>
      </c>
      <c r="K80" s="13"/>
      <c r="L80" s="13">
        <f t="shared" si="38"/>
        <v>0</v>
      </c>
      <c r="M80" s="75">
        <f>V62</f>
        <v>9222738.054666666</v>
      </c>
      <c r="N80" s="13">
        <f t="shared" si="39"/>
        <v>184454.76109333333</v>
      </c>
      <c r="O80" s="13"/>
      <c r="P80" s="13">
        <f t="shared" si="40"/>
        <v>0</v>
      </c>
      <c r="Q80" s="38"/>
      <c r="R80" s="13">
        <f t="shared" si="41"/>
        <v>0</v>
      </c>
      <c r="S80" s="13">
        <f t="shared" si="42"/>
        <v>184454.76109333333</v>
      </c>
      <c r="T80" s="38">
        <v>0.25</v>
      </c>
      <c r="U80" s="13">
        <f t="shared" si="43"/>
        <v>46113.69027333333</v>
      </c>
      <c r="V80" s="13">
        <f t="shared" si="44"/>
        <v>230568.45136666668</v>
      </c>
      <c r="W80" s="3"/>
      <c r="X80" s="58"/>
      <c r="Y80" s="3"/>
    </row>
    <row r="81" spans="1:25" s="4" customFormat="1" ht="11.25">
      <c r="A81" s="50">
        <v>2.15</v>
      </c>
      <c r="B81" s="3"/>
      <c r="C81" s="3"/>
      <c r="D81" s="3" t="s">
        <v>57</v>
      </c>
      <c r="E81" s="3" t="s">
        <v>113</v>
      </c>
      <c r="F81" s="63"/>
      <c r="G81" s="2"/>
      <c r="H81" s="13"/>
      <c r="I81" s="13">
        <f t="shared" si="37"/>
        <v>0</v>
      </c>
      <c r="J81" s="13">
        <f t="shared" si="36"/>
        <v>0</v>
      </c>
      <c r="K81" s="13"/>
      <c r="L81" s="13">
        <f t="shared" si="38"/>
        <v>0</v>
      </c>
      <c r="M81" s="74"/>
      <c r="N81" s="13">
        <f t="shared" si="39"/>
        <v>0</v>
      </c>
      <c r="O81" s="13"/>
      <c r="P81" s="13">
        <f t="shared" si="40"/>
        <v>0</v>
      </c>
      <c r="Q81" s="38"/>
      <c r="R81" s="13">
        <f t="shared" si="41"/>
        <v>0</v>
      </c>
      <c r="S81" s="13">
        <f t="shared" si="42"/>
        <v>0</v>
      </c>
      <c r="T81" s="38"/>
      <c r="U81" s="13">
        <f t="shared" si="43"/>
        <v>0</v>
      </c>
      <c r="V81" s="13">
        <f t="shared" si="44"/>
        <v>0</v>
      </c>
      <c r="W81" s="3"/>
      <c r="X81" s="58"/>
      <c r="Y81" s="3"/>
    </row>
    <row r="82" spans="1:25" s="4" customFormat="1" ht="11.25">
      <c r="A82" s="50">
        <v>2.16</v>
      </c>
      <c r="B82" s="3"/>
      <c r="C82" s="3"/>
      <c r="D82" s="3" t="s">
        <v>58</v>
      </c>
      <c r="E82" s="3" t="s">
        <v>113</v>
      </c>
      <c r="F82" s="63"/>
      <c r="G82" s="2"/>
      <c r="H82" s="13"/>
      <c r="I82" s="13">
        <f t="shared" si="37"/>
        <v>0</v>
      </c>
      <c r="J82" s="13">
        <f t="shared" si="36"/>
        <v>0</v>
      </c>
      <c r="K82" s="13"/>
      <c r="L82" s="13">
        <f t="shared" si="38"/>
        <v>0</v>
      </c>
      <c r="M82" s="74"/>
      <c r="N82" s="13">
        <f t="shared" si="39"/>
        <v>0</v>
      </c>
      <c r="O82" s="13"/>
      <c r="P82" s="13">
        <f t="shared" si="40"/>
        <v>0</v>
      </c>
      <c r="Q82" s="38"/>
      <c r="R82" s="13">
        <f t="shared" si="41"/>
        <v>0</v>
      </c>
      <c r="S82" s="13">
        <f t="shared" si="42"/>
        <v>0</v>
      </c>
      <c r="T82" s="38"/>
      <c r="U82" s="13">
        <f t="shared" si="43"/>
        <v>0</v>
      </c>
      <c r="V82" s="13">
        <f t="shared" si="44"/>
        <v>0</v>
      </c>
      <c r="W82" s="3"/>
      <c r="X82" s="58"/>
      <c r="Y82" s="3"/>
    </row>
    <row r="83" spans="2:25" s="14" customFormat="1" ht="24.75" customHeight="1">
      <c r="B83" s="86" t="s">
        <v>39</v>
      </c>
      <c r="C83" s="87"/>
      <c r="D83" s="87"/>
      <c r="E83" s="87"/>
      <c r="F83" s="87"/>
      <c r="G83" s="87"/>
      <c r="H83" s="88"/>
      <c r="I83" s="36">
        <f>SUM(I66:I82)</f>
        <v>0</v>
      </c>
      <c r="J83" s="36">
        <f>SUM(J66:J82)</f>
        <v>0</v>
      </c>
      <c r="K83" s="35"/>
      <c r="L83" s="36">
        <f>SUM(L66:L82)</f>
        <v>0</v>
      </c>
      <c r="M83" s="77"/>
      <c r="N83" s="36">
        <f>SUM(N66:N82)</f>
        <v>5106184.143826666</v>
      </c>
      <c r="O83" s="35"/>
      <c r="P83" s="36">
        <f>SUM(P66:P82)</f>
        <v>0</v>
      </c>
      <c r="Q83" s="41">
        <f>R83/S83</f>
        <v>0</v>
      </c>
      <c r="R83" s="36">
        <f>SUM(R66:R82)</f>
        <v>0</v>
      </c>
      <c r="S83" s="36">
        <f>SUM(S66:S82)</f>
        <v>5106184.143826666</v>
      </c>
      <c r="T83" s="41">
        <f>U83/S83</f>
        <v>0.25</v>
      </c>
      <c r="U83" s="36">
        <f>SUM(U66:U82)</f>
        <v>1276546.0359566666</v>
      </c>
      <c r="V83" s="36">
        <f>SUM(V66:V82)</f>
        <v>6382730.179783333</v>
      </c>
      <c r="W83" s="4"/>
      <c r="X83" s="1"/>
      <c r="Y83" s="4"/>
    </row>
    <row r="84" spans="2:25" s="4" customFormat="1" ht="4.5" customHeight="1">
      <c r="B84" s="45"/>
      <c r="C84" s="45"/>
      <c r="D84" s="45"/>
      <c r="E84" s="45"/>
      <c r="F84" s="46"/>
      <c r="G84" s="62"/>
      <c r="H84" s="46"/>
      <c r="I84" s="46"/>
      <c r="J84" s="46"/>
      <c r="K84" s="46"/>
      <c r="L84" s="46"/>
      <c r="M84" s="73"/>
      <c r="N84" s="46"/>
      <c r="O84" s="46"/>
      <c r="P84" s="46"/>
      <c r="Q84" s="47"/>
      <c r="R84" s="46"/>
      <c r="S84" s="46"/>
      <c r="T84" s="47"/>
      <c r="U84" s="46"/>
      <c r="V84" s="46"/>
      <c r="W84" s="45"/>
      <c r="X84" s="60"/>
      <c r="Y84" s="45"/>
    </row>
    <row r="85" spans="2:25" s="4" customFormat="1" ht="11.25">
      <c r="B85" s="49" t="s">
        <v>40</v>
      </c>
      <c r="C85" s="45"/>
      <c r="D85" s="45"/>
      <c r="E85" s="45"/>
      <c r="F85" s="46"/>
      <c r="G85" s="62"/>
      <c r="H85" s="46"/>
      <c r="I85" s="46"/>
      <c r="J85" s="46"/>
      <c r="K85" s="46"/>
      <c r="L85" s="46"/>
      <c r="M85" s="73"/>
      <c r="N85" s="46"/>
      <c r="O85" s="46"/>
      <c r="P85" s="46"/>
      <c r="Q85" s="47"/>
      <c r="R85" s="46"/>
      <c r="S85" s="46"/>
      <c r="T85" s="47"/>
      <c r="U85" s="46"/>
      <c r="V85" s="46"/>
      <c r="W85" s="45"/>
      <c r="X85" s="60"/>
      <c r="Y85" s="45"/>
    </row>
    <row r="86" spans="2:25" s="4" customFormat="1" ht="4.5" customHeight="1">
      <c r="B86" s="45"/>
      <c r="C86" s="45"/>
      <c r="D86" s="45"/>
      <c r="E86" s="45"/>
      <c r="F86" s="46"/>
      <c r="G86" s="62"/>
      <c r="H86" s="46"/>
      <c r="I86" s="46"/>
      <c r="J86" s="46"/>
      <c r="K86" s="46"/>
      <c r="L86" s="46"/>
      <c r="M86" s="73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60"/>
      <c r="Y86" s="45"/>
    </row>
    <row r="87" spans="1:25" s="4" customFormat="1" ht="11.25">
      <c r="A87" s="50">
        <v>3.01</v>
      </c>
      <c r="B87" s="3"/>
      <c r="C87" s="3"/>
      <c r="D87" s="3" t="s">
        <v>42</v>
      </c>
      <c r="E87" s="3"/>
      <c r="F87" s="64">
        <v>0.1</v>
      </c>
      <c r="G87" s="2"/>
      <c r="H87" s="13"/>
      <c r="I87" s="13">
        <f>F87*H87</f>
        <v>0</v>
      </c>
      <c r="J87" s="13">
        <f>I87*$L$8</f>
        <v>0</v>
      </c>
      <c r="K87" s="13"/>
      <c r="L87" s="13">
        <f>F87*K87</f>
        <v>0</v>
      </c>
      <c r="M87" s="74">
        <f>S62+S83</f>
        <v>12484374.58756</v>
      </c>
      <c r="N87" s="13">
        <f>F87*M87</f>
        <v>1248437.458756</v>
      </c>
      <c r="O87" s="13"/>
      <c r="P87" s="13">
        <f>F87*O87</f>
        <v>0</v>
      </c>
      <c r="Q87" s="38"/>
      <c r="R87" s="13">
        <f>(J87+L87+N87+P87)*Q87</f>
        <v>0</v>
      </c>
      <c r="S87" s="13">
        <f>J87+L87+N87+P87+R87</f>
        <v>1248437.458756</v>
      </c>
      <c r="T87" s="38">
        <v>0.25</v>
      </c>
      <c r="U87" s="13">
        <f>S87*T87</f>
        <v>312109.364689</v>
      </c>
      <c r="V87" s="13">
        <f>S87+U87</f>
        <v>1560546.823445</v>
      </c>
      <c r="W87" s="3"/>
      <c r="X87" s="58"/>
      <c r="Y87" s="3"/>
    </row>
    <row r="88" spans="1:25" s="4" customFormat="1" ht="11.25">
      <c r="A88" s="50">
        <v>3.02</v>
      </c>
      <c r="B88" s="3"/>
      <c r="C88" s="3"/>
      <c r="D88" s="3" t="s">
        <v>32</v>
      </c>
      <c r="E88" s="3"/>
      <c r="F88" s="13"/>
      <c r="G88" s="2"/>
      <c r="H88" s="13"/>
      <c r="I88" s="13">
        <f>F88*H88</f>
        <v>0</v>
      </c>
      <c r="J88" s="13">
        <f>I88*$L$8</f>
        <v>0</v>
      </c>
      <c r="K88" s="13"/>
      <c r="L88" s="13">
        <f>F88*K88</f>
        <v>0</v>
      </c>
      <c r="M88" s="74"/>
      <c r="N88" s="13">
        <f>F88*M88</f>
        <v>0</v>
      </c>
      <c r="O88" s="13"/>
      <c r="P88" s="13">
        <f>F88*O88</f>
        <v>0</v>
      </c>
      <c r="Q88" s="38"/>
      <c r="R88" s="13">
        <f>(J88+L88+N88+P88)*Q88</f>
        <v>0</v>
      </c>
      <c r="S88" s="13">
        <f>J88+L88+N88+P88+R88</f>
        <v>0</v>
      </c>
      <c r="T88" s="38"/>
      <c r="U88" s="13">
        <f>S88*T88</f>
        <v>0</v>
      </c>
      <c r="V88" s="13">
        <f>S88+U88</f>
        <v>0</v>
      </c>
      <c r="W88" s="3"/>
      <c r="X88" s="58"/>
      <c r="Y88" s="3"/>
    </row>
    <row r="89" spans="1:25" s="4" customFormat="1" ht="11.25">
      <c r="A89" s="50">
        <v>3.03</v>
      </c>
      <c r="B89" s="3"/>
      <c r="C89" s="3"/>
      <c r="D89" s="3" t="s">
        <v>36</v>
      </c>
      <c r="E89" s="3"/>
      <c r="F89" s="13"/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74"/>
      <c r="N89" s="13">
        <f>F89*M89</f>
        <v>0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0</v>
      </c>
      <c r="T89" s="38"/>
      <c r="U89" s="13">
        <f>S89*T89</f>
        <v>0</v>
      </c>
      <c r="V89" s="13">
        <f>S89+U89</f>
        <v>0</v>
      </c>
      <c r="W89" s="3"/>
      <c r="X89" s="58"/>
      <c r="Y89" s="3"/>
    </row>
    <row r="90" spans="2:25" s="14" customFormat="1" ht="24.75" customHeight="1">
      <c r="B90" s="86" t="s">
        <v>41</v>
      </c>
      <c r="C90" s="87"/>
      <c r="D90" s="87"/>
      <c r="E90" s="87"/>
      <c r="F90" s="87"/>
      <c r="G90" s="87"/>
      <c r="H90" s="88"/>
      <c r="I90" s="36">
        <f>SUM(I87:I89)</f>
        <v>0</v>
      </c>
      <c r="J90" s="36">
        <f>SUM(J87:J89)</f>
        <v>0</v>
      </c>
      <c r="K90" s="35"/>
      <c r="L90" s="36">
        <f>SUM(L87:L89)</f>
        <v>0</v>
      </c>
      <c r="M90" s="77"/>
      <c r="N90" s="36">
        <f>SUM(N87:N89)</f>
        <v>1248437.458756</v>
      </c>
      <c r="O90" s="35"/>
      <c r="P90" s="36">
        <f>SUM(P87:P89)</f>
        <v>0</v>
      </c>
      <c r="Q90" s="41">
        <f>R90/S90</f>
        <v>0</v>
      </c>
      <c r="R90" s="36">
        <f>SUM(R87:R89)</f>
        <v>0</v>
      </c>
      <c r="S90" s="36">
        <f>SUM(S87:S89)</f>
        <v>1248437.458756</v>
      </c>
      <c r="T90" s="41">
        <f>U90/S90</f>
        <v>0.25</v>
      </c>
      <c r="U90" s="36">
        <f>SUM(U87:U89)</f>
        <v>312109.364689</v>
      </c>
      <c r="V90" s="36">
        <f>SUM(V87:V89)</f>
        <v>1560546.823445</v>
      </c>
      <c r="W90" s="4"/>
      <c r="X90" s="1"/>
      <c r="Y90" s="4"/>
    </row>
    <row r="91" spans="7:24" s="4" customFormat="1" ht="11.25">
      <c r="G91" s="12"/>
      <c r="M91" s="78"/>
      <c r="X91" s="1"/>
    </row>
    <row r="92" spans="2:25" s="14" customFormat="1" ht="24.75" customHeight="1">
      <c r="B92" s="86" t="s">
        <v>44</v>
      </c>
      <c r="C92" s="87"/>
      <c r="D92" s="87"/>
      <c r="E92" s="87"/>
      <c r="F92" s="87"/>
      <c r="G92" s="87"/>
      <c r="H92" s="88"/>
      <c r="I92" s="36"/>
      <c r="J92" s="36"/>
      <c r="K92" s="35"/>
      <c r="L92" s="36"/>
      <c r="M92" s="77"/>
      <c r="N92" s="36"/>
      <c r="O92" s="35"/>
      <c r="P92" s="36"/>
      <c r="Q92" s="41"/>
      <c r="R92" s="36"/>
      <c r="S92" s="36">
        <f>S62+S83+S90</f>
        <v>13732812.046316</v>
      </c>
      <c r="T92" s="41">
        <f>U92/S92</f>
        <v>0.25</v>
      </c>
      <c r="U92" s="36">
        <f>U62+U83+U90</f>
        <v>3433203.011579</v>
      </c>
      <c r="V92" s="36">
        <f>V62+V83+V90</f>
        <v>17166015.057895</v>
      </c>
      <c r="W92" s="4"/>
      <c r="X92" s="1"/>
      <c r="Y92" s="4"/>
    </row>
    <row r="93" spans="7:24" s="4" customFormat="1" ht="11.25">
      <c r="G93" s="12"/>
      <c r="M93" s="78"/>
      <c r="X93" s="1"/>
    </row>
    <row r="94" spans="7:24" s="4" customFormat="1" ht="11.25">
      <c r="G94" s="12"/>
      <c r="M94" s="78"/>
      <c r="X94" s="1"/>
    </row>
    <row r="95" spans="3:25" s="4" customFormat="1" ht="11.25">
      <c r="C95" s="1"/>
      <c r="D95" s="1"/>
      <c r="E95" s="1"/>
      <c r="F95" s="1"/>
      <c r="G95" s="44"/>
      <c r="H95" s="1"/>
      <c r="I95" s="1"/>
      <c r="J95" s="1"/>
      <c r="K95" s="1"/>
      <c r="L95" s="1"/>
      <c r="M95" s="7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3:25" s="4" customFormat="1" ht="11.25">
      <c r="C96" s="1"/>
      <c r="D96" s="1"/>
      <c r="E96" s="1"/>
      <c r="F96" s="1"/>
      <c r="G96" s="44"/>
      <c r="H96" s="1"/>
      <c r="I96" s="1"/>
      <c r="J96" s="1"/>
      <c r="K96" s="1"/>
      <c r="L96" s="1"/>
      <c r="M96" s="7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3:25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7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7:24" s="4" customFormat="1" ht="11.25">
      <c r="G98" s="12"/>
      <c r="M98" s="78"/>
      <c r="X98" s="1"/>
    </row>
    <row r="99" spans="7:24" s="4" customFormat="1" ht="11.25">
      <c r="G99" s="12"/>
      <c r="M99" s="78"/>
      <c r="X99" s="1"/>
    </row>
    <row r="100" spans="7:24" s="4" customFormat="1" ht="11.25">
      <c r="G100" s="12"/>
      <c r="M100" s="78"/>
      <c r="X100" s="1"/>
    </row>
    <row r="101" spans="7:24" s="4" customFormat="1" ht="11.25">
      <c r="G101" s="12"/>
      <c r="M101" s="78"/>
      <c r="X101" s="1"/>
    </row>
    <row r="102" spans="7:24" s="4" customFormat="1" ht="11.25">
      <c r="G102" s="12"/>
      <c r="M102" s="78"/>
      <c r="X102" s="1"/>
    </row>
    <row r="103" spans="7:24" s="4" customFormat="1" ht="11.25">
      <c r="G103" s="12"/>
      <c r="M103" s="78"/>
      <c r="X103" s="1"/>
    </row>
    <row r="104" spans="7:24" s="4" customFormat="1" ht="11.25">
      <c r="G104" s="12"/>
      <c r="M104" s="78"/>
      <c r="X104" s="1"/>
    </row>
    <row r="105" spans="7:24" s="4" customFormat="1" ht="11.25">
      <c r="G105" s="12"/>
      <c r="M105" s="78"/>
      <c r="X105" s="1"/>
    </row>
    <row r="106" spans="7:24" s="4" customFormat="1" ht="11.25">
      <c r="G106" s="12"/>
      <c r="M106" s="78"/>
      <c r="X106" s="1"/>
    </row>
    <row r="107" spans="7:24" s="4" customFormat="1" ht="11.25">
      <c r="G107" s="12"/>
      <c r="M107" s="78"/>
      <c r="X107" s="1"/>
    </row>
    <row r="108" spans="7:24" s="4" customFormat="1" ht="11.25">
      <c r="G108" s="12"/>
      <c r="M108" s="78"/>
      <c r="X108" s="1"/>
    </row>
    <row r="109" spans="7:24" s="4" customFormat="1" ht="11.25">
      <c r="G109" s="12"/>
      <c r="M109" s="78"/>
      <c r="X109" s="1"/>
    </row>
    <row r="110" spans="7:24" s="4" customFormat="1" ht="11.25">
      <c r="G110" s="12"/>
      <c r="M110" s="78"/>
      <c r="X110" s="1"/>
    </row>
    <row r="111" spans="7:24" s="4" customFormat="1" ht="11.25">
      <c r="G111" s="12"/>
      <c r="M111" s="78"/>
      <c r="X111" s="1"/>
    </row>
    <row r="112" spans="7:24" s="4" customFormat="1" ht="11.25">
      <c r="G112" s="12"/>
      <c r="M112" s="78"/>
      <c r="X112" s="1"/>
    </row>
    <row r="113" spans="7:24" s="4" customFormat="1" ht="11.25">
      <c r="G113" s="12"/>
      <c r="M113" s="78"/>
      <c r="X113" s="1"/>
    </row>
    <row r="114" spans="7:24" s="4" customFormat="1" ht="11.25">
      <c r="G114" s="12"/>
      <c r="M114" s="78"/>
      <c r="X114" s="1"/>
    </row>
    <row r="115" spans="7:24" s="4" customFormat="1" ht="11.25">
      <c r="G115" s="12"/>
      <c r="M115" s="78"/>
      <c r="X115" s="1"/>
    </row>
    <row r="116" spans="7:24" s="4" customFormat="1" ht="11.25">
      <c r="G116" s="12"/>
      <c r="M116" s="78"/>
      <c r="X116" s="1"/>
    </row>
    <row r="117" spans="7:24" s="4" customFormat="1" ht="11.25">
      <c r="G117" s="12"/>
      <c r="M117" s="78"/>
      <c r="X117" s="1"/>
    </row>
    <row r="118" spans="7:24" s="4" customFormat="1" ht="11.25">
      <c r="G118" s="12"/>
      <c r="M118" s="78"/>
      <c r="X118" s="1"/>
    </row>
    <row r="119" spans="7:24" s="4" customFormat="1" ht="11.25">
      <c r="G119" s="12"/>
      <c r="M119" s="78"/>
      <c r="X119" s="1"/>
    </row>
  </sheetData>
  <sheetProtection/>
  <mergeCells count="4">
    <mergeCell ref="B62:H62"/>
    <mergeCell ref="B83:H83"/>
    <mergeCell ref="B90:H90"/>
    <mergeCell ref="B92:H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7" scale="86" r:id="rId2"/>
  <headerFooter>
    <oddFooter>&amp;CPage &amp;P of &amp;N</oddFooter>
  </headerFooter>
  <rowBreaks count="1" manualBreakCount="1">
    <brk id="63" min="1" max="21" man="1"/>
  </rowBreaks>
  <ignoredErrors>
    <ignoredError sqref="F4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2014-03-28T18:32:56Z</cp:lastPrinted>
  <dcterms:created xsi:type="dcterms:W3CDTF">1998-12-07T19:56:09Z</dcterms:created>
  <dcterms:modified xsi:type="dcterms:W3CDTF">2014-03-28T18:33:03Z</dcterms:modified>
  <cp:category/>
  <cp:version/>
  <cp:contentType/>
  <cp:contentStatus/>
</cp:coreProperties>
</file>