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80" windowHeight="12270" tabRatio="522" activeTab="1"/>
  </bookViews>
  <sheets>
    <sheet name="Summary" sheetId="1" r:id="rId1"/>
    <sheet name="Detail Costs" sheetId="2" r:id="rId2"/>
  </sheets>
  <externalReferences>
    <externalReference r:id="rId5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REA">#REF!</definedName>
    <definedName name="Area_Precast_Section">#REF!</definedName>
    <definedName name="CLIENTS">'[1]PICK LISTS'!$B$22:$B$25</definedName>
    <definedName name="CONTRACT">#REF!</definedName>
    <definedName name="ESTIMATE">#REF!</definedName>
    <definedName name="Length_Precast_Unit">#REF!</definedName>
    <definedName name="_xlnm.Print_Area" localSheetId="1">'Detail Costs'!$B$3:$V$98</definedName>
    <definedName name="_xlnm.Print_Titles" localSheetId="1">'Detail Costs'!$1:$10</definedName>
    <definedName name="TITLES">#REF!</definedName>
    <definedName name="Unit_Price_Precast_Unit">#REF!</definedName>
    <definedName name="Volume_Precast_Unit">#REF!</definedName>
    <definedName name="WAGEPROD">#REF!</definedName>
    <definedName name="Zone_impres_MI" localSheetId="0">#REF!</definedName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<sst xmlns="http://schemas.openxmlformats.org/spreadsheetml/2006/main" count="207" uniqueCount="153">
  <si>
    <t>Mhr/Unit</t>
  </si>
  <si>
    <t>Unit</t>
  </si>
  <si>
    <t>Description</t>
  </si>
  <si>
    <t>Qty</t>
  </si>
  <si>
    <t>Remarks</t>
  </si>
  <si>
    <t>Other/Unit ($)</t>
  </si>
  <si>
    <t>Total ($)</t>
  </si>
  <si>
    <t>CLIENT:</t>
  </si>
  <si>
    <t>PROJECT TITLE:</t>
  </si>
  <si>
    <t>DATE:</t>
  </si>
  <si>
    <t>AUTHOR:</t>
  </si>
  <si>
    <t>MTO No.:</t>
  </si>
  <si>
    <t>PROJECT No.:</t>
  </si>
  <si>
    <t>REVISION:</t>
  </si>
  <si>
    <t>Sub Area</t>
  </si>
  <si>
    <t>CONTINGENCY</t>
  </si>
  <si>
    <t>Mhr Total</t>
  </si>
  <si>
    <t>Material/Unit ($)</t>
  </si>
  <si>
    <t>Mhr Cost ($)</t>
  </si>
  <si>
    <t>Material Total ($)</t>
  </si>
  <si>
    <t>Other Total ($)</t>
  </si>
  <si>
    <t>Contingency %</t>
  </si>
  <si>
    <t>Contingency ($)</t>
  </si>
  <si>
    <t>Allowance ($)</t>
  </si>
  <si>
    <t>Allowance %</t>
  </si>
  <si>
    <t>ACCURACY:</t>
  </si>
  <si>
    <t>DESCRIPTION</t>
  </si>
  <si>
    <t>REFERENCE</t>
  </si>
  <si>
    <t>TOTAL COSTS</t>
  </si>
  <si>
    <t>TOTAL COST</t>
  </si>
  <si>
    <t>DIRECT CONSTRUCTION COSTS (see detail sheet for breakdown)</t>
  </si>
  <si>
    <t>INDIRECT COSTS (see detail sheet for breakdown)</t>
  </si>
  <si>
    <t>OWNERS COSTS</t>
  </si>
  <si>
    <t>EPCM COSTS</t>
  </si>
  <si>
    <t>SUB TOTAL COSTS</t>
  </si>
  <si>
    <t>Sub Total ($)</t>
  </si>
  <si>
    <t>ESCALATION</t>
  </si>
  <si>
    <t>DIRECT COST SUB TOTAL</t>
  </si>
  <si>
    <t>DIRECT COSTS</t>
  </si>
  <si>
    <t>INDIRECT COST SUB TOTAL</t>
  </si>
  <si>
    <t>OTHER COSTS</t>
  </si>
  <si>
    <t>OTHER COST SUB TOTAL</t>
  </si>
  <si>
    <t>EPCM</t>
  </si>
  <si>
    <t>Area / WBS</t>
  </si>
  <si>
    <t>TOTAL</t>
  </si>
  <si>
    <t>INDIRECT COSTS</t>
  </si>
  <si>
    <t xml:space="preserve">TEMPORARY FACILITIES AND CONSTRUCTION SITE SERVICES </t>
  </si>
  <si>
    <t xml:space="preserve">OVERTIME PREMIUM FOR COMPRESSED WORK WEEK </t>
  </si>
  <si>
    <t xml:space="preserve">NON-PRODUCTIVE TIME </t>
  </si>
  <si>
    <t xml:space="preserve">SPOT OVERTIME </t>
  </si>
  <si>
    <t xml:space="preserve">CONTRACTOR LOA AND TRAVEL </t>
  </si>
  <si>
    <t xml:space="preserve">HEAVY LIFT </t>
  </si>
  <si>
    <t xml:space="preserve">TRANSPORTATION AND FREIGHT </t>
  </si>
  <si>
    <t xml:space="preserve">CAPITAL SPARE PARTS </t>
  </si>
  <si>
    <t xml:space="preserve">VENDOR ERECTION SUPERVISION </t>
  </si>
  <si>
    <t xml:space="preserve">FIRST FILLS </t>
  </si>
  <si>
    <t xml:space="preserve">ENVIRONMENTAL ASSESSMENT, MONITORING AND TESTING SERVICES </t>
  </si>
  <si>
    <t xml:space="preserve">CONSTRUCTION INSURANCE </t>
  </si>
  <si>
    <t xml:space="preserve">BUILDING PERMITS </t>
  </si>
  <si>
    <t>ESTIMATE - DIRECT/INDIRECT/OTHER CONSTRUCTION COSTS DETAIL</t>
  </si>
  <si>
    <t>ESTIMATE - SUMMARY</t>
  </si>
  <si>
    <t>TEMPORARY CONSTRUCTION CAMP</t>
  </si>
  <si>
    <t xml:space="preserve">GEOTECHNICAL INVESTIGATIONS AND RECOMMENDATIONS </t>
  </si>
  <si>
    <t>307071-00895</t>
  </si>
  <si>
    <t xml:space="preserve"> +/-50%</t>
  </si>
  <si>
    <t>MW</t>
  </si>
  <si>
    <t>EA</t>
  </si>
  <si>
    <t>LS</t>
  </si>
  <si>
    <t>SNOW REMOVAL</t>
  </si>
  <si>
    <t>MDY</t>
  </si>
  <si>
    <t>Equipment Mob / Demob</t>
  </si>
  <si>
    <t>Support Equipment</t>
  </si>
  <si>
    <t>Support Labour</t>
  </si>
  <si>
    <t>Labourer</t>
  </si>
  <si>
    <t>Welder</t>
  </si>
  <si>
    <t>MO</t>
  </si>
  <si>
    <t>Generator</t>
  </si>
  <si>
    <t>DY</t>
  </si>
  <si>
    <t>Transport from Dawson City to site (approx 110km one-way).</t>
  </si>
  <si>
    <t>Fuel Transportation</t>
  </si>
  <si>
    <t>27,000 liter tanker</t>
  </si>
  <si>
    <t>HA</t>
  </si>
  <si>
    <t>M3</t>
  </si>
  <si>
    <t>Medium</t>
  </si>
  <si>
    <t>Clear &amp; grub</t>
  </si>
  <si>
    <t>Re-grade road sub-base</t>
  </si>
  <si>
    <t>Road embankment widening, 3m</t>
  </si>
  <si>
    <t>Drill &amp; blast, crushing, load &amp; haul and place.</t>
  </si>
  <si>
    <t>Cut to fill existing shoulder. Approx 8M3 / LM.</t>
  </si>
  <si>
    <t>Gravel resurfacing, 100mm thk x 8m wide</t>
  </si>
  <si>
    <t>Av. 150mm dp x 5m wide</t>
  </si>
  <si>
    <t>Round Trip</t>
  </si>
  <si>
    <t>6ea</t>
  </si>
  <si>
    <t>1ea on-site</t>
  </si>
  <si>
    <t>liters</t>
  </si>
  <si>
    <t>2ea/shift</t>
  </si>
  <si>
    <t>1ea/shift</t>
  </si>
  <si>
    <t>Edm to Dawson City charter flight + DC to Site by charter bus.  1 flight/man every two weeks.</t>
  </si>
  <si>
    <t>1,200m</t>
  </si>
  <si>
    <t>Bulk Earthworks</t>
  </si>
  <si>
    <t>Drill &amp; blast, screen &amp; sort, load &amp; haul to site and place.</t>
  </si>
  <si>
    <t>Haul Road Construction</t>
  </si>
  <si>
    <t>Channel profiling</t>
  </si>
  <si>
    <t>Cobbles - 25 to 100mm dia.</t>
  </si>
  <si>
    <t>M2</t>
  </si>
  <si>
    <t>Excavator &amp; Dozer</t>
  </si>
  <si>
    <t>n/a</t>
  </si>
  <si>
    <t xml:space="preserve"> *fuel included  in all-in rates.</t>
  </si>
  <si>
    <t>Edm to Dawson City to Site.</t>
  </si>
  <si>
    <t>Channel Armouring</t>
  </si>
  <si>
    <t>Granular filter - 20mm road crush</t>
  </si>
  <si>
    <t>For duration of project</t>
  </si>
  <si>
    <t>SubcontractCosts/Unit ($)</t>
  </si>
  <si>
    <t>Subcontract Total ($)</t>
  </si>
  <si>
    <t>Geotextile 10oz</t>
  </si>
  <si>
    <t>Under cobble layer.</t>
  </si>
  <si>
    <t>Bridge construction</t>
  </si>
  <si>
    <t>15m clear span x 11m w. Supply &amp; install.</t>
  </si>
  <si>
    <t>Water Management</t>
  </si>
  <si>
    <t>Aquadam - supply &amp; install</t>
  </si>
  <si>
    <t>6' x 100' lg.</t>
  </si>
  <si>
    <t>Pumps, hoses, fuel &amp; maintainence</t>
  </si>
  <si>
    <t>150mm submersible</t>
  </si>
  <si>
    <t>Asbestos Control</t>
  </si>
  <si>
    <t>Equipment washdown facilites</t>
  </si>
  <si>
    <t>1ea - 80'x120' temprorary building , 300mm SOG, 4ea - 4.5 GPM pressure washers w/ 600Gal tanks, 4man hours / day.</t>
  </si>
  <si>
    <t>Equipment / vehicle heppa filters,</t>
  </si>
  <si>
    <t>PPE; respirators, overalls</t>
  </si>
  <si>
    <t>Tailings excavation and replacement</t>
  </si>
  <si>
    <t>Stock pile approx 500m one-way haul distance.</t>
  </si>
  <si>
    <t>Rock Drain</t>
  </si>
  <si>
    <t>Blast rock 100-500mm dia.</t>
  </si>
  <si>
    <t>Waste rock fill from Clinton Creek</t>
  </si>
  <si>
    <t>Riprap - D50 = 800mm dia.</t>
  </si>
  <si>
    <t>LD</t>
  </si>
  <si>
    <t>Tailings regrading</t>
  </si>
  <si>
    <t>Dozers</t>
  </si>
  <si>
    <t>Approx. 2.4km one-way haul</t>
  </si>
  <si>
    <t>Fuel truck &amp; driver</t>
  </si>
  <si>
    <t>Shop truck</t>
  </si>
  <si>
    <t>Temp maintenance shop</t>
  </si>
  <si>
    <t>Shop trailer</t>
  </si>
  <si>
    <t>Fuel bowser</t>
  </si>
  <si>
    <t>Pick-up trucks</t>
  </si>
  <si>
    <t>Portable light towers</t>
  </si>
  <si>
    <t>Heavy duty mechanic</t>
  </si>
  <si>
    <t>60 man temporary camp x 10.5mo.</t>
  </si>
  <si>
    <t>ROAD MAINTENANCE</t>
  </si>
  <si>
    <t>1ea Grader 12hrs/day</t>
  </si>
  <si>
    <t>Edmonton to Dawson City 2,519km. Dawson City to Site approx 110km. First Season: 2ea-345ex, 1ea-grader, 1ea-packer, 1ea-wheel loader, 1ea-D8. Second Season: 1ea-374ex, 2ea-D8, 4ea-40ton rock truck, 2ea 345ex, 1ea wheel loader. Third Season: 1ea-PC2000 shovel, 6ea-D11, 9ea-90ton rock truck,.</t>
  </si>
  <si>
    <t>2ea Grader 12hrs/day</t>
  </si>
  <si>
    <t>Assessment and Abandoned Mines</t>
  </si>
  <si>
    <t>Clinton Creek Site LCCA - WC-E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</si>
</sst>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\(&quot;$&quot;#,##0.00\)"/>
    <numFmt numFmtId="165" formatCode="_(* #,##0.00_);_(* \(#,##0.00\);_(* &quot;-&quot;??_);_(@_)"/>
    <numFmt numFmtId="166" formatCode="General_)"/>
    <numFmt numFmtId="167" formatCode="#.00"/>
    <numFmt numFmtId="168" formatCode="#,##0."/>
    <numFmt numFmtId="169" formatCode="&quot;$&quot;#."/>
    <numFmt numFmtId="170" formatCode="0.0"/>
    <numFmt numFmtId="171" formatCode="_(* #,##0_);_(* \(#,##0\);_(* &quot;-&quot;??_);_(@_)"/>
    <numFmt numFmtId="172" formatCode="0.000"/>
    <numFmt numFmtId="173" formatCode="&quot;$&quot;#,##0"/>
    <numFmt numFmtId="174" formatCode="0.0%"/>
    <numFmt numFmtId="175" formatCode="0.00000%"/>
    <numFmt numFmtId="176" formatCode="&quot;$&quot;#,##0.00_);[Red]\(&quot;$&quot;#,##0.00\)"/>
    <numFmt numFmtId="177" formatCode="&quot;$&quot;#,##0_);[Red]\(&quot;$&quot;#,##0\)"/>
    <numFmt numFmtId="178" formatCode="0_)"/>
    <numFmt numFmtId="179" formatCode="0.0_)"/>
    <numFmt numFmtId="180" formatCode="#,##0.000"/>
    <numFmt numFmtId="181" formatCode="_-&quot;$&quot;* #,##0.000_-;\-&quot;$&quot;* #,##0.000_-;_-&quot;$&quot;* &quot;-&quot;???_-;_-@_-"/>
    <numFmt numFmtId="182" formatCode="_-* #,##0.000_-;\-* #,##0.000_-;_-* &quot;-&quot;???_-;_-@_-"/>
    <numFmt numFmtId="183" formatCode="_-&quot;$&quot;* #,##0.000_-;\-&quot;$&quot;* #,##0.000_-;_-&quot;$&quot;* &quot;-&quot;??_-;_-@_-"/>
    <numFmt numFmtId="184" formatCode="_-&quot;$&quot;* #,##0.0_-;\-&quot;$&quot;* #,##0.0_-;_-&quot;$&quot;* &quot;-&quot;??_-;_-@_-"/>
    <numFmt numFmtId="185" formatCode="_-&quot;$&quot;* #,##0_-;\-&quot;$&quot;* #,##0_-;_-&quot;$&quot;* &quot;-&quot;??_-;_-@_-"/>
    <numFmt numFmtId="186" formatCode="#,##0.0000"/>
    <numFmt numFmtId="187" formatCode="#,##0.0"/>
    <numFmt numFmtId="188" formatCode="_(* #,##0.000_);_(* \(#,##0.000\);_(* &quot;-&quot;??_);_(@_)"/>
    <numFmt numFmtId="189" formatCode="_(* #,##0.0_);_(* \(#,##0.0\);_(* &quot;-&quot;??_);_(@_)"/>
    <numFmt numFmtId="190" formatCode="_(&quot;$&quot;* #,##0_);_(&quot;$&quot;* \(#,##0\);_(&quot;$&quot;* &quot;-&quot;??_);_(@_)"/>
    <numFmt numFmtId="191" formatCode="_-&quot;$&quot;* #,##0.0000_-;\-&quot;$&quot;* #,##0.0000_-;_-&quot;$&quot;* &quot;-&quot;??_-;_-@_-"/>
    <numFmt numFmtId="192" formatCode="_-&quot;$&quot;* #,##0.0000_-;\-&quot;$&quot;* #,##0.0000_-;_-&quot;$&quot;* &quot;-&quot;????_-;_-@_-"/>
    <numFmt numFmtId="193" formatCode="_-&quot;$&quot;* #,##0.0_-;\-&quot;$&quot;* #,##0.0_-;_-&quot;$&quot;* &quot;-&quot;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0"/>
    <numFmt numFmtId="199" formatCode="&quot;$&quot;#,##0.00"/>
    <numFmt numFmtId="200" formatCode="_ * #,##0.00_)\ &quot;$&quot;_ ;_ * \(#,##0.00\)\ &quot;$&quot;_ ;_ * &quot;-&quot;??_)\ &quot;$&quot;_ ;_ @_ "/>
    <numFmt numFmtId="201" formatCode="_(&quot;$&quot;* #,##0.00_);_(&quot;$&quot;* \(#,##0.00\);_(&quot;$&quot;* &quot;-&quot;??_);_(@_)"/>
    <numFmt numFmtId="202" formatCode="[$-1009]mmmm\-dd\-yy"/>
    <numFmt numFmtId="203" formatCode="[$-409]h:mm:ss\ AM/PM"/>
    <numFmt numFmtId="204" formatCode="[$-1009]d\-mmm\-yy;@"/>
    <numFmt numFmtId="205" formatCode="_-* #,##0.0_-;\-* #,##0.0_-;_-* &quot;-&quot;?_-;_-@_-"/>
    <numFmt numFmtId="206" formatCode="_ * #,##0.00_)\ _$_ ;_ * \(#,##0.00\)\ _$_ ;_ * &quot;-&quot;??_)\ _$_ ;_ @_ "/>
    <numFmt numFmtId="207" formatCode="_([$€-2]* #,##0.00_);_([$€-2]* \(#,##0.00\);_([$€-2]* &quot;-&quot;??_)"/>
    <numFmt numFmtId="208" formatCode="_-* #,##0.0_-;\-* #,##0.0_-;_-* &quot;-&quot;??_-;_-@_-"/>
    <numFmt numFmtId="209" formatCode="_-* #,##0_-;\-* #,##0_-;_-* &quot;-&quot;??_-;_-@_-"/>
  </numFmts>
  <fonts count="58">
    <font>
      <sz val="8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"/>
      <color indexed="8"/>
      <name val="Courier"/>
      <family val="3"/>
    </font>
    <font>
      <u val="single"/>
      <sz val="6.4"/>
      <color indexed="12"/>
      <name val="Arial"/>
      <family val="2"/>
    </font>
    <font>
      <sz val="10"/>
      <name val="LinePrinter"/>
      <family val="0"/>
    </font>
    <font>
      <b/>
      <u val="single"/>
      <sz val="10"/>
      <name val="Arial"/>
      <family val="2"/>
    </font>
    <font>
      <b/>
      <sz val="10"/>
      <color indexed="9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u val="single"/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6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i/>
      <sz val="10"/>
      <color indexed="23"/>
      <name val="Arial"/>
      <family val="2"/>
    </font>
    <font>
      <u val="single"/>
      <sz val="6"/>
      <color indexed="20"/>
      <name val="Arial"/>
      <family val="2"/>
    </font>
    <font>
      <sz val="10"/>
      <color indexed="17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6"/>
      <color theme="11"/>
      <name val="Arial"/>
      <family val="2"/>
    </font>
    <font>
      <sz val="10"/>
      <color rgb="FF006100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rgb="FF3F3F3F"/>
      <name val="Calibri"/>
      <family val="2"/>
    </font>
    <font>
      <sz val="10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double"/>
      <bottom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12" fillId="6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13" fillId="0" borderId="0" applyNumberFormat="0" applyFill="0" applyBorder="0" applyAlignment="0" applyProtection="0"/>
    <xf numFmtId="0" fontId="41" fillId="35" borderId="0" applyNumberFormat="0" applyBorder="0" applyAlignment="0" applyProtection="0"/>
    <xf numFmtId="0" fontId="14" fillId="36" borderId="1" applyNumberFormat="0" applyAlignment="0" applyProtection="0"/>
    <xf numFmtId="0" fontId="42" fillId="37" borderId="2" applyNumberFormat="0" applyAlignment="0" applyProtection="0"/>
    <xf numFmtId="0" fontId="13" fillId="0" borderId="3" applyNumberFormat="0" applyFill="0" applyAlignment="0" applyProtection="0"/>
    <xf numFmtId="0" fontId="43" fillId="38" borderId="4" applyNumberFormat="0" applyAlignment="0" applyProtection="0"/>
    <xf numFmtId="165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206" fontId="3" fillId="0" borderId="0" applyFont="0" applyFill="0" applyBorder="0" applyAlignment="0" applyProtection="0"/>
    <xf numFmtId="168" fontId="4" fillId="0" borderId="0">
      <alignment/>
      <protection locked="0"/>
    </xf>
    <xf numFmtId="0" fontId="3" fillId="4" borderId="5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3" fillId="0" borderId="0" applyFont="0" applyFill="0" applyBorder="0" applyAlignment="0" applyProtection="0"/>
    <xf numFmtId="169" fontId="4" fillId="0" borderId="0">
      <alignment/>
      <protection locked="0"/>
    </xf>
    <xf numFmtId="0" fontId="4" fillId="0" borderId="0">
      <alignment/>
      <protection locked="0"/>
    </xf>
    <xf numFmtId="0" fontId="15" fillId="13" borderId="1" applyNumberFormat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67" fontId="4" fillId="0" borderId="0">
      <alignment/>
      <protection locked="0"/>
    </xf>
    <xf numFmtId="0" fontId="45" fillId="0" borderId="0" applyNumberFormat="0" applyFill="0" applyBorder="0" applyAlignment="0" applyProtection="0"/>
    <xf numFmtId="0" fontId="46" fillId="39" borderId="0" applyNumberFormat="0" applyBorder="0" applyAlignment="0" applyProtection="0"/>
    <xf numFmtId="0" fontId="4" fillId="0" borderId="0">
      <alignment/>
      <protection locked="0"/>
    </xf>
    <xf numFmtId="0" fontId="4" fillId="0" borderId="0">
      <alignment/>
      <protection locked="0"/>
    </xf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40" borderId="2" applyNumberFormat="0" applyAlignment="0" applyProtection="0"/>
    <xf numFmtId="0" fontId="50" fillId="40" borderId="2" applyNumberFormat="0" applyAlignment="0" applyProtection="0"/>
    <xf numFmtId="0" fontId="16" fillId="41" borderId="0" applyNumberFormat="0" applyBorder="0" applyAlignment="0" applyProtection="0"/>
    <xf numFmtId="0" fontId="51" fillId="0" borderId="8" applyNumberFormat="0" applyFill="0" applyAlignment="0" applyProtection="0"/>
    <xf numFmtId="200" fontId="3" fillId="0" borderId="0" applyFont="0" applyFill="0" applyBorder="0" applyAlignment="0" applyProtection="0"/>
    <xf numFmtId="0" fontId="52" fillId="42" borderId="0" applyNumberFormat="0" applyBorder="0" applyAlignment="0" applyProtection="0"/>
    <xf numFmtId="0" fontId="17" fillId="13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0" fillId="43" borderId="9" applyNumberFormat="0" applyFont="0" applyAlignment="0" applyProtection="0"/>
    <xf numFmtId="0" fontId="54" fillId="37" borderId="10" applyNumberForma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6" borderId="0" applyNumberFormat="0" applyBorder="0" applyAlignment="0" applyProtection="0"/>
    <xf numFmtId="0" fontId="19" fillId="36" borderId="11" applyNumberFormat="0" applyAlignment="0" applyProtection="0"/>
    <xf numFmtId="0" fontId="2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3" fillId="0" borderId="14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15">
      <alignment/>
      <protection locked="0"/>
    </xf>
    <xf numFmtId="3" fontId="56" fillId="44" borderId="10">
      <alignment horizontal="center"/>
      <protection/>
    </xf>
    <xf numFmtId="0" fontId="24" fillId="45" borderId="16" applyNumberFormat="0" applyAlignment="0" applyProtection="0"/>
    <xf numFmtId="0" fontId="57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0" fillId="0" borderId="18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171" fontId="0" fillId="0" borderId="17" xfId="63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 wrapText="1"/>
    </xf>
    <xf numFmtId="0" fontId="0" fillId="46" borderId="18" xfId="0" applyFill="1" applyBorder="1" applyAlignment="1">
      <alignment vertical="center"/>
    </xf>
    <xf numFmtId="0" fontId="0" fillId="46" borderId="19" xfId="0" applyFill="1" applyBorder="1" applyAlignment="1">
      <alignment vertical="center"/>
    </xf>
    <xf numFmtId="0" fontId="0" fillId="46" borderId="21" xfId="0" applyFill="1" applyBorder="1" applyAlignment="1">
      <alignment vertical="center"/>
    </xf>
    <xf numFmtId="0" fontId="26" fillId="46" borderId="22" xfId="0" applyFont="1" applyFill="1" applyBorder="1" applyAlignment="1">
      <alignment horizontal="right" vertical="center"/>
    </xf>
    <xf numFmtId="0" fontId="26" fillId="46" borderId="23" xfId="0" applyFont="1" applyFill="1" applyBorder="1" applyAlignment="1">
      <alignment horizontal="right" vertical="center"/>
    </xf>
    <xf numFmtId="0" fontId="26" fillId="46" borderId="24" xfId="0" applyFont="1" applyFill="1" applyBorder="1" applyAlignment="1">
      <alignment horizontal="right" vertical="center"/>
    </xf>
    <xf numFmtId="0" fontId="26" fillId="46" borderId="19" xfId="0" applyFont="1" applyFill="1" applyBorder="1" applyAlignment="1">
      <alignment horizontal="right" vertical="center"/>
    </xf>
    <xf numFmtId="0" fontId="26" fillId="46" borderId="17" xfId="0" applyFont="1" applyFill="1" applyBorder="1" applyAlignment="1">
      <alignment horizontal="center" vertical="center" wrapText="1"/>
    </xf>
    <xf numFmtId="4" fontId="8" fillId="0" borderId="0" xfId="63" applyNumberFormat="1" applyFont="1" applyFill="1" applyAlignment="1">
      <alignment horizontal="right" vertical="center" wrapText="1"/>
    </xf>
    <xf numFmtId="0" fontId="26" fillId="46" borderId="17" xfId="0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0" fontId="26" fillId="46" borderId="25" xfId="0" applyFont="1" applyFill="1" applyBorder="1" applyAlignment="1">
      <alignment horizontal="right" vertical="center"/>
    </xf>
    <xf numFmtId="0" fontId="26" fillId="46" borderId="26" xfId="0" applyFont="1" applyFill="1" applyBorder="1" applyAlignment="1">
      <alignment horizontal="right" vertical="center"/>
    </xf>
    <xf numFmtId="0" fontId="26" fillId="46" borderId="17" xfId="0" applyFont="1" applyFill="1" applyBorder="1" applyAlignment="1">
      <alignment horizontal="left" vertical="center" wrapText="1"/>
    </xf>
    <xf numFmtId="0" fontId="26" fillId="46" borderId="19" xfId="0" applyFont="1" applyFill="1" applyBorder="1" applyAlignment="1">
      <alignment horizontal="right" vertical="center" wrapText="1"/>
    </xf>
    <xf numFmtId="0" fontId="11" fillId="0" borderId="0" xfId="0" applyFont="1" applyFill="1" applyAlignment="1">
      <alignment vertical="center" wrapText="1"/>
    </xf>
    <xf numFmtId="42" fontId="26" fillId="46" borderId="17" xfId="63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/>
    </xf>
    <xf numFmtId="171" fontId="26" fillId="0" borderId="17" xfId="63" applyNumberFormat="1" applyFont="1" applyFill="1" applyBorder="1" applyAlignment="1">
      <alignment horizontal="left" vertical="center" wrapText="1"/>
    </xf>
    <xf numFmtId="42" fontId="26" fillId="0" borderId="17" xfId="63" applyNumberFormat="1" applyFont="1" applyFill="1" applyBorder="1" applyAlignment="1">
      <alignment horizontal="left" vertical="center" wrapText="1"/>
    </xf>
    <xf numFmtId="0" fontId="26" fillId="46" borderId="23" xfId="0" applyFont="1" applyFill="1" applyBorder="1" applyAlignment="1">
      <alignment vertical="center" wrapText="1"/>
    </xf>
    <xf numFmtId="171" fontId="26" fillId="46" borderId="17" xfId="0" applyNumberFormat="1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left" vertical="center" wrapText="1"/>
    </xf>
    <xf numFmtId="9" fontId="0" fillId="0" borderId="17" xfId="101" applyFont="1" applyFill="1" applyBorder="1" applyAlignment="1">
      <alignment horizontal="center" vertical="center" wrapText="1"/>
    </xf>
    <xf numFmtId="174" fontId="0" fillId="0" borderId="20" xfId="98" applyNumberFormat="1" applyFont="1" applyFill="1" applyBorder="1" applyAlignment="1">
      <alignment horizontal="center"/>
      <protection/>
    </xf>
    <xf numFmtId="3" fontId="0" fillId="0" borderId="20" xfId="98" applyNumberFormat="1" applyFont="1" applyFill="1" applyBorder="1" applyAlignment="1">
      <alignment horizontal="center"/>
      <protection/>
    </xf>
    <xf numFmtId="9" fontId="26" fillId="46" borderId="17" xfId="101" applyFont="1" applyFill="1" applyBorder="1" applyAlignment="1">
      <alignment horizontal="center" vertical="center" wrapText="1"/>
    </xf>
    <xf numFmtId="42" fontId="0" fillId="0" borderId="0" xfId="0" applyNumberFormat="1" applyFill="1" applyAlignment="1">
      <alignment vertical="center" wrapText="1"/>
    </xf>
    <xf numFmtId="9" fontId="0" fillId="0" borderId="0" xfId="101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171" fontId="0" fillId="0" borderId="0" xfId="63" applyNumberFormat="1" applyFont="1" applyFill="1" applyBorder="1" applyAlignment="1">
      <alignment horizontal="left" vertical="center" wrapText="1"/>
    </xf>
    <xf numFmtId="9" fontId="0" fillId="0" borderId="0" xfId="101" applyFont="1" applyFill="1" applyBorder="1" applyAlignment="1">
      <alignment horizontal="center" vertical="center" wrapText="1"/>
    </xf>
    <xf numFmtId="0" fontId="26" fillId="46" borderId="17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left" vertical="center"/>
    </xf>
    <xf numFmtId="2" fontId="0" fillId="0" borderId="0" xfId="63" applyNumberFormat="1" applyFont="1" applyFill="1" applyAlignment="1">
      <alignment vertical="center" wrapText="1"/>
    </xf>
    <xf numFmtId="204" fontId="0" fillId="0" borderId="17" xfId="0" applyNumberFormat="1" applyFont="1" applyFill="1" applyBorder="1" applyAlignment="1">
      <alignment horizontal="left" vertical="center"/>
    </xf>
    <xf numFmtId="0" fontId="0" fillId="0" borderId="17" xfId="0" applyFont="1" applyFill="1" applyBorder="1" applyAlignment="1">
      <alignment vertical="center"/>
    </xf>
    <xf numFmtId="204" fontId="0" fillId="0" borderId="19" xfId="0" applyNumberFormat="1" applyFont="1" applyFill="1" applyBorder="1" applyAlignment="1">
      <alignment horizontal="left" vertical="center"/>
    </xf>
    <xf numFmtId="0" fontId="0" fillId="0" borderId="19" xfId="0" applyFont="1" applyFill="1" applyBorder="1" applyAlignment="1">
      <alignment vertical="center"/>
    </xf>
    <xf numFmtId="2" fontId="0" fillId="0" borderId="17" xfId="0" applyNumberForma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 indent="1"/>
    </xf>
    <xf numFmtId="0" fontId="26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vertical="center"/>
    </xf>
    <xf numFmtId="0" fontId="26" fillId="0" borderId="17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71" fontId="26" fillId="0" borderId="17" xfId="63" applyNumberFormat="1" applyFont="1" applyFill="1" applyBorder="1" applyAlignment="1">
      <alignment horizontal="right" vertical="center" wrapText="1"/>
    </xf>
    <xf numFmtId="9" fontId="26" fillId="0" borderId="17" xfId="10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 indent="2"/>
    </xf>
    <xf numFmtId="171" fontId="0" fillId="0" borderId="17" xfId="63" applyNumberFormat="1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4" fontId="26" fillId="0" borderId="0" xfId="63" applyNumberFormat="1" applyFont="1" applyFill="1" applyBorder="1" applyAlignment="1">
      <alignment horizontal="right" vertical="center"/>
    </xf>
    <xf numFmtId="44" fontId="0" fillId="0" borderId="0" xfId="68" applyFont="1" applyFill="1" applyBorder="1" applyAlignment="1">
      <alignment horizontal="right" vertical="center" wrapText="1"/>
    </xf>
    <xf numFmtId="165" fontId="0" fillId="0" borderId="0" xfId="63" applyFont="1" applyFill="1" applyAlignment="1">
      <alignment vertical="center"/>
    </xf>
    <xf numFmtId="165" fontId="26" fillId="46" borderId="17" xfId="63" applyFont="1" applyFill="1" applyBorder="1" applyAlignment="1">
      <alignment horizontal="center" vertical="center" wrapText="1"/>
    </xf>
    <xf numFmtId="165" fontId="0" fillId="0" borderId="0" xfId="63" applyFont="1" applyFill="1" applyBorder="1" applyAlignment="1">
      <alignment horizontal="left" vertical="center" wrapText="1"/>
    </xf>
    <xf numFmtId="165" fontId="0" fillId="0" borderId="17" xfId="63" applyFont="1" applyFill="1" applyBorder="1" applyAlignment="1">
      <alignment horizontal="left" vertical="center" wrapText="1"/>
    </xf>
    <xf numFmtId="165" fontId="0" fillId="0" borderId="17" xfId="63" applyFont="1" applyFill="1" applyBorder="1" applyAlignment="1">
      <alignment horizontal="left" vertical="center" wrapText="1"/>
    </xf>
    <xf numFmtId="165" fontId="26" fillId="46" borderId="17" xfId="63" applyFont="1" applyFill="1" applyBorder="1" applyAlignment="1">
      <alignment vertical="center" wrapText="1"/>
    </xf>
    <xf numFmtId="165" fontId="26" fillId="46" borderId="23" xfId="63" applyFont="1" applyFill="1" applyBorder="1" applyAlignment="1">
      <alignment vertical="center" wrapText="1"/>
    </xf>
    <xf numFmtId="165" fontId="0" fillId="0" borderId="0" xfId="63" applyFont="1" applyFill="1" applyAlignment="1">
      <alignment vertical="center" wrapText="1"/>
    </xf>
    <xf numFmtId="0" fontId="0" fillId="0" borderId="17" xfId="0" applyFont="1" applyFill="1" applyBorder="1" applyAlignment="1">
      <alignment horizontal="left" vertical="top" wrapText="1"/>
    </xf>
    <xf numFmtId="209" fontId="26" fillId="0" borderId="17" xfId="63" applyNumberFormat="1" applyFont="1" applyFill="1" applyBorder="1" applyAlignment="1">
      <alignment horizontal="right" vertical="center" wrapText="1"/>
    </xf>
    <xf numFmtId="165" fontId="0" fillId="0" borderId="17" xfId="63" applyNumberFormat="1" applyFont="1" applyFill="1" applyBorder="1" applyAlignment="1">
      <alignment horizontal="left" vertical="center" wrapText="1"/>
    </xf>
    <xf numFmtId="165" fontId="0" fillId="0" borderId="17" xfId="63" applyNumberFormat="1" applyFont="1" applyFill="1" applyBorder="1" applyAlignment="1">
      <alignment horizontal="left" vertical="center" wrapText="1"/>
    </xf>
    <xf numFmtId="171" fontId="0" fillId="0" borderId="17" xfId="63" applyNumberFormat="1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/>
    </xf>
    <xf numFmtId="0" fontId="26" fillId="46" borderId="17" xfId="0" applyFont="1" applyFill="1" applyBorder="1" applyAlignment="1">
      <alignment horizontal="left" vertical="center" wrapText="1"/>
    </xf>
    <xf numFmtId="0" fontId="26" fillId="46" borderId="19" xfId="0" applyFont="1" applyFill="1" applyBorder="1" applyAlignment="1">
      <alignment horizontal="left" vertical="center" wrapText="1"/>
    </xf>
    <xf numFmtId="0" fontId="26" fillId="46" borderId="23" xfId="0" applyFont="1" applyFill="1" applyBorder="1" applyAlignment="1">
      <alignment horizontal="left" vertical="center" wrapText="1"/>
    </xf>
    <xf numFmtId="0" fontId="26" fillId="46" borderId="20" xfId="0" applyFont="1" applyFill="1" applyBorder="1" applyAlignment="1">
      <alignment horizontal="left" vertical="center" wrapText="1"/>
    </xf>
  </cellXfs>
  <cellStyles count="10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Calcul" xfId="59"/>
    <cellStyle name="Calculation" xfId="60"/>
    <cellStyle name="Cellule liée" xfId="61"/>
    <cellStyle name="Check Cell" xfId="62"/>
    <cellStyle name="Comma" xfId="63"/>
    <cellStyle name="Comma [0]" xfId="64"/>
    <cellStyle name="Comma 2" xfId="65"/>
    <cellStyle name="Comma0" xfId="66"/>
    <cellStyle name="Commentaire" xfId="67"/>
    <cellStyle name="Currency" xfId="68"/>
    <cellStyle name="Currency [0]" xfId="69"/>
    <cellStyle name="Currency 2" xfId="70"/>
    <cellStyle name="Currency0" xfId="71"/>
    <cellStyle name="Date" xfId="72"/>
    <cellStyle name="Entrée" xfId="73"/>
    <cellStyle name="Euro" xfId="74"/>
    <cellStyle name="Euro 2" xfId="75"/>
    <cellStyle name="Explanatory Text" xfId="76"/>
    <cellStyle name="Fixed" xfId="77"/>
    <cellStyle name="Followed Hyperlink" xfId="78"/>
    <cellStyle name="Good" xfId="79"/>
    <cellStyle name="Heading 1" xfId="80"/>
    <cellStyle name="Heading 2" xfId="81"/>
    <cellStyle name="Heading 2 2" xfId="82"/>
    <cellStyle name="Heading 3" xfId="83"/>
    <cellStyle name="Heading 4" xfId="84"/>
    <cellStyle name="Hyperlink" xfId="85"/>
    <cellStyle name="Input" xfId="86"/>
    <cellStyle name="Input 2" xfId="87"/>
    <cellStyle name="Insatisfaisant" xfId="88"/>
    <cellStyle name="Linked Cell" xfId="89"/>
    <cellStyle name="Monétaire_Xl0000044" xfId="90"/>
    <cellStyle name="Neutral" xfId="91"/>
    <cellStyle name="Neutre" xfId="92"/>
    <cellStyle name="Normal 2" xfId="93"/>
    <cellStyle name="Normal 3" xfId="94"/>
    <cellStyle name="Normal 4" xfId="95"/>
    <cellStyle name="Normal 5" xfId="96"/>
    <cellStyle name="Normal 6" xfId="97"/>
    <cellStyle name="Normal_Xl0000044" xfId="98"/>
    <cellStyle name="Note" xfId="99"/>
    <cellStyle name="Output" xfId="100"/>
    <cellStyle name="Percent" xfId="101"/>
    <cellStyle name="Percent 2" xfId="102"/>
    <cellStyle name="Percent 3" xfId="103"/>
    <cellStyle name="Satisfaisant" xfId="104"/>
    <cellStyle name="Sortie" xfId="105"/>
    <cellStyle name="Texte explicatif" xfId="106"/>
    <cellStyle name="Title" xfId="107"/>
    <cellStyle name="Titre" xfId="108"/>
    <cellStyle name="Titre 1" xfId="109"/>
    <cellStyle name="Titre 2" xfId="110"/>
    <cellStyle name="Titre 3" xfId="111"/>
    <cellStyle name="Titre 4" xfId="112"/>
    <cellStyle name="Total" xfId="113"/>
    <cellStyle name="Total/Average" xfId="114"/>
    <cellStyle name="Vérification" xfId="115"/>
    <cellStyle name="Warning Text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733425</xdr:colOff>
      <xdr:row>0</xdr:row>
      <xdr:rowOff>47625</xdr:rowOff>
    </xdr:from>
    <xdr:to>
      <xdr:col>4</xdr:col>
      <xdr:colOff>1609725</xdr:colOff>
      <xdr:row>3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47625"/>
          <a:ext cx="1924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466725</xdr:colOff>
      <xdr:row>2</xdr:row>
      <xdr:rowOff>114300</xdr:rowOff>
    </xdr:from>
    <xdr:to>
      <xdr:col>21</xdr:col>
      <xdr:colOff>733425</xdr:colOff>
      <xdr:row>5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97075" y="400050"/>
          <a:ext cx="1914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YVRWPFIL01\Users\Users\mel.gray\AppData\Local\Microsoft\Windows\Temporary%20Internet%20Files\Content.Outlook\PFLJGR22\TIC%20Cost%20Estim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"/>
      <sheetName val="BSL_COVER"/>
      <sheetName val="BSL_APPR"/>
      <sheetName val="BASIS"/>
      <sheetName val="STRUCTURE"/>
      <sheetName val="RATES"/>
      <sheetName val="ESTIMATE"/>
      <sheetName val="SUMMARY"/>
      <sheetName val="COMMODITIES"/>
      <sheetName val="PICK LISTS"/>
      <sheetName val="LOGOS"/>
      <sheetName val="PIPING_RATES"/>
      <sheetName val="REV_HIST"/>
      <sheetName val="REV"/>
      <sheetName val="YAR_COVER"/>
      <sheetName val="TRANSFER"/>
      <sheetName val="BLANK"/>
    </sheetNames>
    <sheetDataSet>
      <sheetData sheetId="9">
        <row r="22">
          <cell r="B22" t="str">
            <v>BOYNE SMELTERS LIMITED</v>
          </cell>
        </row>
        <row r="23">
          <cell r="B23" t="str">
            <v>QUEENSLAND ALUMINA</v>
          </cell>
        </row>
        <row r="24">
          <cell r="B24" t="str">
            <v>RTA GOVE</v>
          </cell>
        </row>
        <row r="25">
          <cell r="B25" t="str">
            <v>RTA YARWUN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zoomScale="80" zoomScaleNormal="80" zoomScalePageLayoutView="0" workbookViewId="0" topLeftCell="A1">
      <selection activeCell="E26" sqref="E26"/>
    </sheetView>
  </sheetViews>
  <sheetFormatPr defaultColWidth="9.33203125" defaultRowHeight="11.25"/>
  <cols>
    <col min="1" max="1" width="3.16015625" style="1" customWidth="1"/>
    <col min="2" max="2" width="20" style="1" customWidth="1"/>
    <col min="3" max="3" width="81.33203125" style="1" bestFit="1" customWidth="1"/>
    <col min="4" max="4" width="18.33203125" style="1" customWidth="1"/>
    <col min="5" max="5" width="28.66015625" style="32" customWidth="1"/>
    <col min="6" max="7" width="9.33203125" style="1" customWidth="1"/>
    <col min="8" max="8" width="9.83203125" style="1" bestFit="1" customWidth="1"/>
    <col min="9" max="16384" width="9.33203125" style="1" customWidth="1"/>
  </cols>
  <sheetData>
    <row r="1" ht="11.25">
      <c r="A1" s="25" t="str">
        <f ca="1">CELL("filename",A1)</f>
        <v>U:\YVR\307071\00895_YEMR_ClintonCrk\02_Rpts\11_Eng-Tech_Rpt_and_Studies\307071-00895-00-WR-REP-0001_Rev0\Excel and CAD files\Appendix 3\Wolverine CAPEX\[307071-00895-Clinton Creek LCCA-WC-E-13012014.xls]Summary</v>
      </c>
    </row>
    <row r="2" ht="11.25">
      <c r="E2" s="6"/>
    </row>
    <row r="3" spans="2:5" ht="12.75">
      <c r="B3" s="7" t="s">
        <v>60</v>
      </c>
      <c r="E3" s="6"/>
    </row>
    <row r="4" ht="11.25"/>
    <row r="5" spans="2:5" ht="15.75" customHeight="1">
      <c r="B5" s="26" t="s">
        <v>7</v>
      </c>
      <c r="C5" s="8" t="str">
        <f>'Detail Costs'!D5</f>
        <v>Assessment and Abandoned Mines</v>
      </c>
      <c r="D5" s="29" t="s">
        <v>9</v>
      </c>
      <c r="E5" s="51">
        <f>'Detail Costs'!F5</f>
        <v>41726</v>
      </c>
    </row>
    <row r="6" spans="2:5" ht="15.75" customHeight="1">
      <c r="B6" s="24" t="s">
        <v>8</v>
      </c>
      <c r="C6" s="8" t="str">
        <f>'Detail Costs'!D6</f>
        <v>Clinton Creek Site LCCA - WC-E</v>
      </c>
      <c r="D6" s="29" t="s">
        <v>25</v>
      </c>
      <c r="E6" s="51" t="str">
        <f>'Detail Costs'!F6</f>
        <v> +/-50%</v>
      </c>
    </row>
    <row r="7" spans="2:5" ht="15.75" customHeight="1">
      <c r="B7" s="24" t="s">
        <v>12</v>
      </c>
      <c r="C7" s="58" t="str">
        <f>'Detail Costs'!D7</f>
        <v>307071-00895</v>
      </c>
      <c r="D7" s="29" t="s">
        <v>10</v>
      </c>
      <c r="E7" s="51" t="str">
        <f>'Detail Costs'!F7</f>
        <v>MW</v>
      </c>
    </row>
    <row r="8" spans="2:5" ht="15.75" customHeight="1">
      <c r="B8" s="27" t="s">
        <v>11</v>
      </c>
      <c r="C8" s="11"/>
      <c r="D8" s="29" t="s">
        <v>13</v>
      </c>
      <c r="E8" s="52"/>
    </row>
    <row r="10" spans="2:5" s="12" customFormat="1" ht="21.75" customHeight="1">
      <c r="B10" s="22" t="s">
        <v>27</v>
      </c>
      <c r="C10" s="22" t="s">
        <v>26</v>
      </c>
      <c r="D10" s="22"/>
      <c r="E10" s="22" t="s">
        <v>29</v>
      </c>
    </row>
    <row r="11" spans="2:5" s="4" customFormat="1" ht="15" customHeight="1">
      <c r="B11" s="3"/>
      <c r="C11" s="3"/>
      <c r="D11" s="3"/>
      <c r="E11" s="33"/>
    </row>
    <row r="12" spans="2:5" s="4" customFormat="1" ht="15" customHeight="1">
      <c r="B12" s="55">
        <v>1</v>
      </c>
      <c r="C12" s="37" t="s">
        <v>30</v>
      </c>
      <c r="D12" s="37"/>
      <c r="E12" s="34">
        <f>ROUND('Detail Costs'!S68,-3)</f>
        <v>23490000</v>
      </c>
    </row>
    <row r="13" spans="2:5" s="4" customFormat="1" ht="15" customHeight="1">
      <c r="B13" s="2"/>
      <c r="C13" s="37"/>
      <c r="D13" s="37"/>
      <c r="E13" s="34"/>
    </row>
    <row r="14" spans="2:8" s="4" customFormat="1" ht="15" customHeight="1">
      <c r="B14" s="55">
        <v>2</v>
      </c>
      <c r="C14" s="37" t="s">
        <v>31</v>
      </c>
      <c r="D14" s="39"/>
      <c r="E14" s="34">
        <f>ROUND('Detail Costs'!S89,-3)</f>
        <v>12367000</v>
      </c>
      <c r="H14" s="42"/>
    </row>
    <row r="15" spans="2:5" s="4" customFormat="1" ht="15" customHeight="1">
      <c r="B15" s="2"/>
      <c r="C15" s="37"/>
      <c r="D15" s="37"/>
      <c r="E15" s="34"/>
    </row>
    <row r="16" spans="2:8" s="4" customFormat="1" ht="15" customHeight="1">
      <c r="B16" s="55">
        <v>3.01</v>
      </c>
      <c r="C16" s="37" t="s">
        <v>33</v>
      </c>
      <c r="D16" s="40"/>
      <c r="E16" s="34">
        <f>ROUND('Detail Costs'!S93,-3)</f>
        <v>3586000</v>
      </c>
      <c r="H16" s="42"/>
    </row>
    <row r="17" spans="2:5" s="4" customFormat="1" ht="15" customHeight="1">
      <c r="B17" s="2"/>
      <c r="C17" s="37"/>
      <c r="D17" s="37"/>
      <c r="E17" s="34"/>
    </row>
    <row r="18" spans="2:8" s="4" customFormat="1" ht="15" customHeight="1">
      <c r="B18" s="55">
        <v>3.02</v>
      </c>
      <c r="C18" s="37" t="s">
        <v>32</v>
      </c>
      <c r="D18" s="40"/>
      <c r="E18" s="34">
        <f>ROUND('Detail Costs'!S94,-3)</f>
        <v>0</v>
      </c>
      <c r="H18" s="42"/>
    </row>
    <row r="19" spans="2:5" s="4" customFormat="1" ht="15" customHeight="1">
      <c r="B19" s="2"/>
      <c r="C19" s="3"/>
      <c r="D19" s="3"/>
      <c r="E19" s="34"/>
    </row>
    <row r="20" spans="2:5" s="4" customFormat="1" ht="15" customHeight="1">
      <c r="B20" s="55">
        <v>3.03</v>
      </c>
      <c r="C20" s="37" t="s">
        <v>36</v>
      </c>
      <c r="D20" s="40"/>
      <c r="E20" s="34">
        <f>ROUND('Detail Costs'!S95,-3)</f>
        <v>0</v>
      </c>
    </row>
    <row r="21" spans="2:5" s="4" customFormat="1" ht="15" customHeight="1">
      <c r="B21" s="2"/>
      <c r="C21" s="3"/>
      <c r="D21" s="3"/>
      <c r="E21" s="34"/>
    </row>
    <row r="22" spans="2:5" s="4" customFormat="1" ht="21.75" customHeight="1">
      <c r="B22" s="28"/>
      <c r="C22" s="28" t="s">
        <v>34</v>
      </c>
      <c r="D22" s="28"/>
      <c r="E22" s="31">
        <f>SUM(E12:E20)</f>
        <v>39443000</v>
      </c>
    </row>
    <row r="23" spans="2:5" s="4" customFormat="1" ht="15" customHeight="1">
      <c r="B23" s="2"/>
      <c r="C23" s="37"/>
      <c r="D23" s="37"/>
      <c r="E23" s="34"/>
    </row>
    <row r="24" spans="2:9" s="4" customFormat="1" ht="15" customHeight="1">
      <c r="B24" s="2">
        <v>4.01</v>
      </c>
      <c r="C24" s="37" t="s">
        <v>15</v>
      </c>
      <c r="D24" s="38">
        <f>E24/E22</f>
        <v>0.2500063382602743</v>
      </c>
      <c r="E24" s="34">
        <f>ROUND('Detail Costs'!U98,-3)</f>
        <v>9861000</v>
      </c>
      <c r="H24" s="42"/>
      <c r="I24" s="43"/>
    </row>
    <row r="25" spans="2:5" s="4" customFormat="1" ht="15" customHeight="1">
      <c r="B25" s="2"/>
      <c r="C25" s="3"/>
      <c r="D25" s="3"/>
      <c r="E25" s="34"/>
    </row>
    <row r="26" spans="2:5" s="4" customFormat="1" ht="21.75" customHeight="1">
      <c r="B26" s="28"/>
      <c r="C26" s="28" t="s">
        <v>28</v>
      </c>
      <c r="D26" s="28"/>
      <c r="E26" s="31">
        <f>SUM(E22:E25)</f>
        <v>49304000</v>
      </c>
    </row>
    <row r="27" s="4" customFormat="1" ht="11.25">
      <c r="E27" s="14"/>
    </row>
    <row r="28" spans="2:5" s="4" customFormat="1" ht="11.25">
      <c r="B28" s="30"/>
      <c r="E28" s="14"/>
    </row>
    <row r="29" s="4" customFormat="1" ht="11.25">
      <c r="E29" s="14"/>
    </row>
    <row r="30" s="4" customFormat="1" ht="11.25">
      <c r="E30" s="14"/>
    </row>
    <row r="31" s="4" customFormat="1" ht="11.25">
      <c r="E31" s="14"/>
    </row>
    <row r="32" s="4" customFormat="1" ht="11.25">
      <c r="E32" s="14"/>
    </row>
    <row r="33" s="4" customFormat="1" ht="11.25">
      <c r="E33" s="14"/>
    </row>
    <row r="34" s="4" customFormat="1" ht="11.25">
      <c r="E34" s="14"/>
    </row>
    <row r="35" s="4" customFormat="1" ht="11.25">
      <c r="E35" s="14"/>
    </row>
    <row r="36" s="4" customFormat="1" ht="11.25">
      <c r="E36" s="14"/>
    </row>
    <row r="37" s="4" customFormat="1" ht="11.25">
      <c r="E37" s="14"/>
    </row>
    <row r="38" s="4" customFormat="1" ht="11.25">
      <c r="E38" s="14"/>
    </row>
    <row r="39" s="4" customFormat="1" ht="11.25">
      <c r="E39" s="14"/>
    </row>
    <row r="40" s="4" customFormat="1" ht="11.25">
      <c r="E40" s="14"/>
    </row>
    <row r="41" s="4" customFormat="1" ht="11.25">
      <c r="E41" s="14"/>
    </row>
    <row r="42" s="4" customFormat="1" ht="11.25">
      <c r="E42" s="14"/>
    </row>
    <row r="43" s="4" customFormat="1" ht="11.25">
      <c r="E43" s="14"/>
    </row>
    <row r="44" s="4" customFormat="1" ht="11.25">
      <c r="E44" s="14"/>
    </row>
    <row r="45" s="4" customFormat="1" ht="11.25">
      <c r="E45" s="14"/>
    </row>
    <row r="46" s="4" customFormat="1" ht="11.25">
      <c r="E46" s="14"/>
    </row>
    <row r="47" s="4" customFormat="1" ht="11.25">
      <c r="E47" s="14"/>
    </row>
    <row r="48" s="4" customFormat="1" ht="11.25">
      <c r="E48" s="14"/>
    </row>
    <row r="49" s="4" customFormat="1" ht="11.25">
      <c r="E49" s="14"/>
    </row>
    <row r="50" s="4" customFormat="1" ht="11.25">
      <c r="E50" s="14"/>
    </row>
    <row r="51" s="4" customFormat="1" ht="11.25">
      <c r="E51" s="14"/>
    </row>
    <row r="52" s="4" customFormat="1" ht="11.25">
      <c r="E52" s="14"/>
    </row>
    <row r="53" s="4" customFormat="1" ht="11.25">
      <c r="E53" s="1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5"/>
  <sheetViews>
    <sheetView tabSelected="1" zoomScale="90" zoomScaleNormal="90" zoomScalePageLayoutView="0" workbookViewId="0" topLeftCell="A1">
      <selection activeCell="L6" sqref="L6"/>
    </sheetView>
  </sheetViews>
  <sheetFormatPr defaultColWidth="9.33203125" defaultRowHeight="11.25"/>
  <cols>
    <col min="1" max="1" width="4.83203125" style="1" customWidth="1"/>
    <col min="2" max="2" width="8.33203125" style="1" customWidth="1"/>
    <col min="3" max="3" width="10.5" style="1" customWidth="1"/>
    <col min="4" max="4" width="44.5" style="1" customWidth="1"/>
    <col min="5" max="5" width="25.16015625" style="1" customWidth="1"/>
    <col min="6" max="6" width="13.16015625" style="1" customWidth="1"/>
    <col min="7" max="7" width="8.33203125" style="44" bestFit="1" customWidth="1"/>
    <col min="8" max="8" width="10.16015625" style="1" customWidth="1"/>
    <col min="9" max="9" width="7.83203125" style="1" customWidth="1"/>
    <col min="10" max="10" width="10.66015625" style="1" customWidth="1"/>
    <col min="11" max="11" width="9.83203125" style="1" customWidth="1"/>
    <col min="12" max="12" width="9.66015625" style="1" customWidth="1"/>
    <col min="13" max="13" width="14.83203125" style="71" customWidth="1"/>
    <col min="14" max="14" width="15" style="1" customWidth="1"/>
    <col min="15" max="15" width="7.83203125" style="1" customWidth="1"/>
    <col min="16" max="16" width="9.5" style="1" customWidth="1"/>
    <col min="17" max="17" width="11.83203125" style="1" customWidth="1"/>
    <col min="18" max="18" width="12.83203125" style="1" customWidth="1"/>
    <col min="19" max="19" width="14.16015625" style="1" customWidth="1"/>
    <col min="20" max="20" width="14.66015625" style="1" customWidth="1"/>
    <col min="21" max="21" width="14.16015625" style="1" customWidth="1"/>
    <col min="22" max="22" width="14.66015625" style="1" customWidth="1"/>
    <col min="23" max="23" width="11.33203125" style="1" customWidth="1"/>
    <col min="24" max="24" width="9.33203125" style="1" customWidth="1"/>
    <col min="25" max="25" width="9.83203125" style="1" customWidth="1"/>
    <col min="26" max="16384" width="9.33203125" style="1" customWidth="1"/>
  </cols>
  <sheetData>
    <row r="1" spans="1:17" ht="11.25">
      <c r="A1" s="1" t="str">
        <f ca="1">CELL("filename",A1)</f>
        <v>U:\YVR\307071\00895_YEMR_ClintonCrk\02_Rpts\11_Eng-Tech_Rpt_and_Studies\307071-00895-00-WR-REP-0001_Rev0\Excel and CAD files\Appendix 3\Wolverine CAPEX\[307071-00895-Clinton Creek LCCA-WC-E-13012014.xls]Detail Costs</v>
      </c>
      <c r="E1" s="5"/>
      <c r="Q1" s="44"/>
    </row>
    <row r="2" spans="5:25" ht="11.25">
      <c r="E2" s="5"/>
      <c r="Q2" s="44"/>
      <c r="Y2" s="6"/>
    </row>
    <row r="3" spans="2:25" ht="12.75">
      <c r="B3" s="7" t="s">
        <v>59</v>
      </c>
      <c r="E3" s="5"/>
      <c r="Q3" s="44"/>
      <c r="X3" s="5"/>
      <c r="Y3" s="6"/>
    </row>
    <row r="4" spans="5:25" ht="11.25">
      <c r="E4" s="5"/>
      <c r="Q4" s="44"/>
      <c r="X4" s="5"/>
      <c r="Y4" s="32"/>
    </row>
    <row r="5" spans="2:22" ht="15.75" customHeight="1">
      <c r="B5" s="15"/>
      <c r="C5" s="18" t="s">
        <v>7</v>
      </c>
      <c r="D5" s="8" t="s">
        <v>151</v>
      </c>
      <c r="E5" s="21" t="s">
        <v>9</v>
      </c>
      <c r="F5" s="53">
        <v>41726</v>
      </c>
      <c r="G5" s="61"/>
      <c r="H5" s="10"/>
      <c r="N5" s="23"/>
      <c r="P5" s="23"/>
      <c r="Q5" s="44"/>
      <c r="S5" s="23"/>
      <c r="V5" s="23"/>
    </row>
    <row r="6" spans="2:17" ht="15.75" customHeight="1">
      <c r="B6" s="16"/>
      <c r="C6" s="19" t="s">
        <v>8</v>
      </c>
      <c r="D6" s="9" t="s">
        <v>152</v>
      </c>
      <c r="E6" s="24" t="s">
        <v>25</v>
      </c>
      <c r="F6" s="54" t="s">
        <v>64</v>
      </c>
      <c r="G6" s="61"/>
      <c r="H6" s="10"/>
      <c r="Q6" s="44"/>
    </row>
    <row r="7" spans="2:17" ht="15.75" customHeight="1">
      <c r="B7" s="16"/>
      <c r="C7" s="19" t="s">
        <v>12</v>
      </c>
      <c r="D7" s="9" t="s">
        <v>63</v>
      </c>
      <c r="E7" s="24" t="s">
        <v>10</v>
      </c>
      <c r="F7" s="54" t="s">
        <v>65</v>
      </c>
      <c r="G7" s="61"/>
      <c r="H7" s="10"/>
      <c r="K7" s="68"/>
      <c r="L7" s="69"/>
      <c r="Q7" s="44"/>
    </row>
    <row r="8" spans="2:17" ht="15.75" customHeight="1">
      <c r="B8" s="17"/>
      <c r="C8" s="20" t="s">
        <v>11</v>
      </c>
      <c r="D8" s="11"/>
      <c r="E8" s="24" t="s">
        <v>13</v>
      </c>
      <c r="F8" s="84">
        <v>0</v>
      </c>
      <c r="G8" s="61"/>
      <c r="H8" s="10"/>
      <c r="K8" s="68"/>
      <c r="L8" s="70"/>
      <c r="Q8" s="44"/>
    </row>
    <row r="9" ht="11.25">
      <c r="Q9" s="44"/>
    </row>
    <row r="10" spans="2:25" s="12" customFormat="1" ht="54.75" customHeight="1">
      <c r="B10" s="22" t="s">
        <v>43</v>
      </c>
      <c r="C10" s="22" t="s">
        <v>14</v>
      </c>
      <c r="D10" s="22" t="s">
        <v>2</v>
      </c>
      <c r="E10" s="22" t="s">
        <v>4</v>
      </c>
      <c r="F10" s="22" t="s">
        <v>3</v>
      </c>
      <c r="G10" s="22" t="s">
        <v>1</v>
      </c>
      <c r="H10" s="22" t="s">
        <v>0</v>
      </c>
      <c r="I10" s="22" t="s">
        <v>16</v>
      </c>
      <c r="J10" s="22" t="s">
        <v>18</v>
      </c>
      <c r="K10" s="22" t="s">
        <v>17</v>
      </c>
      <c r="L10" s="22" t="s">
        <v>19</v>
      </c>
      <c r="M10" s="72" t="s">
        <v>112</v>
      </c>
      <c r="N10" s="22" t="s">
        <v>113</v>
      </c>
      <c r="O10" s="22" t="s">
        <v>5</v>
      </c>
      <c r="P10" s="22" t="s">
        <v>20</v>
      </c>
      <c r="Q10" s="22" t="s">
        <v>24</v>
      </c>
      <c r="R10" s="22" t="s">
        <v>23</v>
      </c>
      <c r="S10" s="22" t="s">
        <v>35</v>
      </c>
      <c r="T10" s="22" t="s">
        <v>21</v>
      </c>
      <c r="U10" s="22" t="s">
        <v>22</v>
      </c>
      <c r="V10" s="22" t="s">
        <v>6</v>
      </c>
      <c r="W10" s="22"/>
      <c r="X10" s="22"/>
      <c r="Y10" s="22"/>
    </row>
    <row r="11" spans="2:25" s="4" customFormat="1" ht="4.5" customHeight="1">
      <c r="B11" s="45"/>
      <c r="C11" s="45"/>
      <c r="D11" s="45"/>
      <c r="E11" s="45"/>
      <c r="F11" s="46"/>
      <c r="G11" s="62"/>
      <c r="H11" s="46"/>
      <c r="I11" s="46"/>
      <c r="J11" s="46"/>
      <c r="K11" s="46"/>
      <c r="L11" s="46"/>
      <c r="M11" s="73"/>
      <c r="N11" s="46"/>
      <c r="O11" s="46"/>
      <c r="P11" s="46"/>
      <c r="Q11" s="47"/>
      <c r="R11" s="46"/>
      <c r="S11" s="46"/>
      <c r="T11" s="47"/>
      <c r="U11" s="46"/>
      <c r="V11" s="46"/>
      <c r="W11" s="45"/>
      <c r="X11" s="60"/>
      <c r="Y11" s="45"/>
    </row>
    <row r="12" spans="2:25" s="4" customFormat="1" ht="11.25">
      <c r="B12" s="49" t="s">
        <v>38</v>
      </c>
      <c r="C12" s="45"/>
      <c r="D12" s="45"/>
      <c r="E12" s="45"/>
      <c r="F12" s="46"/>
      <c r="G12" s="62"/>
      <c r="H12" s="46"/>
      <c r="I12" s="46"/>
      <c r="J12" s="46"/>
      <c r="K12" s="46"/>
      <c r="L12" s="46"/>
      <c r="M12" s="73"/>
      <c r="N12" s="46"/>
      <c r="O12" s="46"/>
      <c r="P12" s="46"/>
      <c r="Q12" s="47"/>
      <c r="R12" s="46"/>
      <c r="S12" s="46"/>
      <c r="T12" s="47"/>
      <c r="U12" s="46"/>
      <c r="V12" s="46"/>
      <c r="W12" s="45"/>
      <c r="X12" s="60"/>
      <c r="Y12" s="45"/>
    </row>
    <row r="13" spans="2:25" s="4" customFormat="1" ht="4.5" customHeight="1">
      <c r="B13" s="45"/>
      <c r="C13" s="45"/>
      <c r="D13" s="45"/>
      <c r="E13" s="45"/>
      <c r="F13" s="46"/>
      <c r="G13" s="62"/>
      <c r="H13" s="46"/>
      <c r="I13" s="46"/>
      <c r="J13" s="46"/>
      <c r="K13" s="46"/>
      <c r="L13" s="46"/>
      <c r="M13" s="73"/>
      <c r="N13" s="46"/>
      <c r="O13" s="46"/>
      <c r="P13" s="46"/>
      <c r="Q13" s="47"/>
      <c r="R13" s="46"/>
      <c r="S13" s="46"/>
      <c r="T13" s="47"/>
      <c r="U13" s="46"/>
      <c r="V13" s="46"/>
      <c r="W13" s="45"/>
      <c r="X13" s="60"/>
      <c r="Y13" s="45"/>
    </row>
    <row r="14" spans="1:25" s="4" customFormat="1" ht="11.25">
      <c r="A14" s="50">
        <v>1.01</v>
      </c>
      <c r="B14" s="3"/>
      <c r="C14" s="37"/>
      <c r="D14" s="37"/>
      <c r="E14" s="37"/>
      <c r="F14" s="33"/>
      <c r="G14" s="57"/>
      <c r="H14" s="13"/>
      <c r="I14" s="13">
        <f aca="true" t="shared" si="0" ref="I14:I20">F14*H14</f>
        <v>0</v>
      </c>
      <c r="J14" s="13">
        <f aca="true" t="shared" si="1" ref="J14:J20">I14*$L$8</f>
        <v>0</v>
      </c>
      <c r="K14" s="13"/>
      <c r="L14" s="13">
        <f aca="true" t="shared" si="2" ref="L14:L20">F14*K14</f>
        <v>0</v>
      </c>
      <c r="M14" s="74"/>
      <c r="N14" s="13">
        <f aca="true" t="shared" si="3" ref="N14:N20">F14*M14</f>
        <v>0</v>
      </c>
      <c r="O14" s="13"/>
      <c r="P14" s="13">
        <f aca="true" t="shared" si="4" ref="P14:P20">F14*O14</f>
        <v>0</v>
      </c>
      <c r="Q14" s="38"/>
      <c r="R14" s="13">
        <f aca="true" t="shared" si="5" ref="R14:R20">(J14+L14+N14+P14)*Q14</f>
        <v>0</v>
      </c>
      <c r="S14" s="13">
        <f aca="true" t="shared" si="6" ref="S14:S20">J14+L14+N14+P14+R14</f>
        <v>0</v>
      </c>
      <c r="T14" s="38"/>
      <c r="U14" s="13">
        <f aca="true" t="shared" si="7" ref="U14:U20">S14*T14</f>
        <v>0</v>
      </c>
      <c r="V14" s="13">
        <f aca="true" t="shared" si="8" ref="V14:V20">S14+U14</f>
        <v>0</v>
      </c>
      <c r="W14" s="3"/>
      <c r="X14" s="58"/>
      <c r="Y14" s="3"/>
    </row>
    <row r="15" spans="1:25" s="4" customFormat="1" ht="23.25" customHeight="1">
      <c r="A15" s="50">
        <v>1.02</v>
      </c>
      <c r="B15" s="3"/>
      <c r="C15" s="37"/>
      <c r="D15" s="59" t="s">
        <v>70</v>
      </c>
      <c r="E15" s="79" t="s">
        <v>149</v>
      </c>
      <c r="F15" s="63">
        <v>32</v>
      </c>
      <c r="G15" s="57" t="s">
        <v>66</v>
      </c>
      <c r="H15" s="13"/>
      <c r="I15" s="13">
        <f>F15*H15</f>
        <v>0</v>
      </c>
      <c r="J15" s="13">
        <f t="shared" si="1"/>
        <v>0</v>
      </c>
      <c r="K15" s="13"/>
      <c r="L15" s="13">
        <f>F15*K15</f>
        <v>0</v>
      </c>
      <c r="M15" s="82">
        <f>((16*9361.68)+(16*28763.28))*2/F15</f>
        <v>38124.96</v>
      </c>
      <c r="N15" s="13">
        <f>F15*M15</f>
        <v>1219998.72</v>
      </c>
      <c r="O15" s="13"/>
      <c r="P15" s="13">
        <f>F15*O15</f>
        <v>0</v>
      </c>
      <c r="Q15" s="38"/>
      <c r="R15" s="13">
        <f>(J15+L15+N15+P15)*Q15</f>
        <v>0</v>
      </c>
      <c r="S15" s="13">
        <f>J15+L15+N15+P15+R15</f>
        <v>1219998.72</v>
      </c>
      <c r="T15" s="38">
        <v>0.25</v>
      </c>
      <c r="U15" s="13">
        <f>S15*T15</f>
        <v>304999.68</v>
      </c>
      <c r="V15" s="13">
        <f>S15+U15</f>
        <v>1524998.4</v>
      </c>
      <c r="W15" s="3"/>
      <c r="X15" s="58"/>
      <c r="Y15" s="3"/>
    </row>
    <row r="16" spans="1:25" s="4" customFormat="1" ht="11.25">
      <c r="A16" s="50">
        <v>1.03</v>
      </c>
      <c r="B16" s="3"/>
      <c r="C16" s="37"/>
      <c r="D16" s="56"/>
      <c r="E16" s="37"/>
      <c r="F16" s="63"/>
      <c r="G16" s="57"/>
      <c r="H16" s="13"/>
      <c r="I16" s="13">
        <f>F16*H16</f>
        <v>0</v>
      </c>
      <c r="J16" s="13">
        <f t="shared" si="1"/>
        <v>0</v>
      </c>
      <c r="K16" s="13"/>
      <c r="L16" s="13">
        <f>F16*K16</f>
        <v>0</v>
      </c>
      <c r="M16" s="74"/>
      <c r="N16" s="13">
        <f>F16*M16</f>
        <v>0</v>
      </c>
      <c r="O16" s="13"/>
      <c r="P16" s="13">
        <f>F16*O16</f>
        <v>0</v>
      </c>
      <c r="Q16" s="38"/>
      <c r="R16" s="13">
        <f>(J16+L16+N16+P16)*Q16</f>
        <v>0</v>
      </c>
      <c r="S16" s="13">
        <f>J16+L16+N16+P16+R16</f>
        <v>0</v>
      </c>
      <c r="T16" s="38"/>
      <c r="U16" s="13">
        <f>S16*T16</f>
        <v>0</v>
      </c>
      <c r="V16" s="13">
        <f>S16+U16</f>
        <v>0</v>
      </c>
      <c r="W16" s="3"/>
      <c r="X16" s="58"/>
      <c r="Y16" s="3"/>
    </row>
    <row r="17" spans="1:25" s="4" customFormat="1" ht="11.25">
      <c r="A17" s="50">
        <v>1.04</v>
      </c>
      <c r="B17" s="3"/>
      <c r="C17" s="37"/>
      <c r="D17" s="59" t="s">
        <v>101</v>
      </c>
      <c r="E17" s="37" t="s">
        <v>98</v>
      </c>
      <c r="F17" s="63"/>
      <c r="G17" s="57"/>
      <c r="H17" s="13"/>
      <c r="I17" s="13">
        <f t="shared" si="0"/>
        <v>0</v>
      </c>
      <c r="J17" s="13">
        <f t="shared" si="1"/>
        <v>0</v>
      </c>
      <c r="K17" s="13"/>
      <c r="L17" s="13">
        <f t="shared" si="2"/>
        <v>0</v>
      </c>
      <c r="M17" s="74"/>
      <c r="N17" s="13">
        <f t="shared" si="3"/>
        <v>0</v>
      </c>
      <c r="O17" s="13"/>
      <c r="P17" s="13">
        <f t="shared" si="4"/>
        <v>0</v>
      </c>
      <c r="Q17" s="38"/>
      <c r="R17" s="13">
        <f t="shared" si="5"/>
        <v>0</v>
      </c>
      <c r="S17" s="13">
        <f t="shared" si="6"/>
        <v>0</v>
      </c>
      <c r="T17" s="38"/>
      <c r="U17" s="13">
        <f t="shared" si="7"/>
        <v>0</v>
      </c>
      <c r="V17" s="13">
        <f t="shared" si="8"/>
        <v>0</v>
      </c>
      <c r="W17" s="3"/>
      <c r="X17" s="58"/>
      <c r="Y17" s="3"/>
    </row>
    <row r="18" spans="1:25" s="4" customFormat="1" ht="11.25">
      <c r="A18" s="50">
        <v>1.05</v>
      </c>
      <c r="B18" s="3"/>
      <c r="C18" s="37"/>
      <c r="D18" s="56" t="s">
        <v>84</v>
      </c>
      <c r="E18" s="37" t="s">
        <v>83</v>
      </c>
      <c r="F18" s="63">
        <v>1</v>
      </c>
      <c r="G18" s="57" t="s">
        <v>81</v>
      </c>
      <c r="H18" s="13"/>
      <c r="I18" s="13">
        <f>F18*H18</f>
        <v>0</v>
      </c>
      <c r="J18" s="13">
        <f>I18*$L$8</f>
        <v>0</v>
      </c>
      <c r="K18" s="13"/>
      <c r="L18" s="13">
        <f>F18*K18</f>
        <v>0</v>
      </c>
      <c r="M18" s="74">
        <v>11877.51</v>
      </c>
      <c r="N18" s="13">
        <f>F18*M18</f>
        <v>11877.51</v>
      </c>
      <c r="O18" s="13"/>
      <c r="P18" s="13">
        <f>F18*O18</f>
        <v>0</v>
      </c>
      <c r="Q18" s="38"/>
      <c r="R18" s="13">
        <f>(J18+L18+N18+P18)*Q18</f>
        <v>0</v>
      </c>
      <c r="S18" s="13">
        <f>J18+L18+N18+P18+R18</f>
        <v>11877.51</v>
      </c>
      <c r="T18" s="38">
        <v>0.25</v>
      </c>
      <c r="U18" s="13">
        <f>S18*T18</f>
        <v>2969.3775</v>
      </c>
      <c r="V18" s="13">
        <f>S18+U18</f>
        <v>14846.8875</v>
      </c>
      <c r="W18" s="3"/>
      <c r="X18" s="58"/>
      <c r="Y18" s="3"/>
    </row>
    <row r="19" spans="1:25" s="4" customFormat="1" ht="22.5">
      <c r="A19" s="50">
        <v>1.06</v>
      </c>
      <c r="B19" s="3"/>
      <c r="C19" s="37"/>
      <c r="D19" s="56" t="s">
        <v>86</v>
      </c>
      <c r="E19" s="37" t="s">
        <v>88</v>
      </c>
      <c r="F19" s="63">
        <v>9600</v>
      </c>
      <c r="G19" s="57" t="s">
        <v>82</v>
      </c>
      <c r="H19" s="13"/>
      <c r="I19" s="13">
        <f>F19*H19</f>
        <v>0</v>
      </c>
      <c r="J19" s="13">
        <f>I19*$L$8</f>
        <v>0</v>
      </c>
      <c r="K19" s="13"/>
      <c r="L19" s="13">
        <f>F19*K19</f>
        <v>0</v>
      </c>
      <c r="M19" s="75">
        <v>4.63</v>
      </c>
      <c r="N19" s="13">
        <f>F19*M19</f>
        <v>44448</v>
      </c>
      <c r="O19" s="13"/>
      <c r="P19" s="13">
        <f>F19*O19</f>
        <v>0</v>
      </c>
      <c r="Q19" s="38"/>
      <c r="R19" s="13">
        <f>(J19+L19+N19+P19)*Q19</f>
        <v>0</v>
      </c>
      <c r="S19" s="13">
        <f>J19+L19+N19+P19+R19</f>
        <v>44448</v>
      </c>
      <c r="T19" s="38">
        <v>0.25</v>
      </c>
      <c r="U19" s="13">
        <f>S19*T19</f>
        <v>11112</v>
      </c>
      <c r="V19" s="13">
        <f>S19+U19</f>
        <v>55560</v>
      </c>
      <c r="W19" s="3"/>
      <c r="X19" s="58"/>
      <c r="Y19" s="3"/>
    </row>
    <row r="20" spans="1:25" s="4" customFormat="1" ht="11.25">
      <c r="A20" s="50">
        <v>1.07</v>
      </c>
      <c r="B20" s="3"/>
      <c r="C20" s="37"/>
      <c r="D20" s="56" t="s">
        <v>85</v>
      </c>
      <c r="E20" s="37" t="s">
        <v>90</v>
      </c>
      <c r="F20" s="63">
        <v>900</v>
      </c>
      <c r="G20" s="57" t="s">
        <v>82</v>
      </c>
      <c r="H20" s="13"/>
      <c r="I20" s="13">
        <f t="shared" si="0"/>
        <v>0</v>
      </c>
      <c r="J20" s="13">
        <f t="shared" si="1"/>
        <v>0</v>
      </c>
      <c r="K20" s="13"/>
      <c r="L20" s="13">
        <f t="shared" si="2"/>
        <v>0</v>
      </c>
      <c r="M20" s="74">
        <v>12.57</v>
      </c>
      <c r="N20" s="13">
        <f t="shared" si="3"/>
        <v>11313</v>
      </c>
      <c r="O20" s="13"/>
      <c r="P20" s="13">
        <f t="shared" si="4"/>
        <v>0</v>
      </c>
      <c r="Q20" s="38"/>
      <c r="R20" s="13">
        <f t="shared" si="5"/>
        <v>0</v>
      </c>
      <c r="S20" s="13">
        <f t="shared" si="6"/>
        <v>11313</v>
      </c>
      <c r="T20" s="38">
        <v>0.25</v>
      </c>
      <c r="U20" s="13">
        <f t="shared" si="7"/>
        <v>2828.25</v>
      </c>
      <c r="V20" s="13">
        <f t="shared" si="8"/>
        <v>14141.25</v>
      </c>
      <c r="W20" s="3"/>
      <c r="X20" s="58"/>
      <c r="Y20" s="3"/>
    </row>
    <row r="21" spans="1:25" s="4" customFormat="1" ht="22.5">
      <c r="A21" s="50">
        <v>1.08</v>
      </c>
      <c r="B21" s="3"/>
      <c r="C21" s="37"/>
      <c r="D21" s="56" t="s">
        <v>89</v>
      </c>
      <c r="E21" s="37" t="s">
        <v>87</v>
      </c>
      <c r="F21" s="63">
        <v>960</v>
      </c>
      <c r="G21" s="57" t="s">
        <v>82</v>
      </c>
      <c r="H21" s="13"/>
      <c r="I21" s="13">
        <f aca="true" t="shared" si="9" ref="I21:I31">F21*H21</f>
        <v>0</v>
      </c>
      <c r="J21" s="13">
        <f aca="true" t="shared" si="10" ref="J21:J31">I21*$L$8</f>
        <v>0</v>
      </c>
      <c r="K21" s="13"/>
      <c r="L21" s="13">
        <f aca="true" t="shared" si="11" ref="L21:L31">F21*K21</f>
        <v>0</v>
      </c>
      <c r="M21" s="75">
        <f>37.22+65.34+35.79+12.57</f>
        <v>150.92</v>
      </c>
      <c r="N21" s="13">
        <f aca="true" t="shared" si="12" ref="N21:N31">F21*M21</f>
        <v>144883.19999999998</v>
      </c>
      <c r="O21" s="13"/>
      <c r="P21" s="13">
        <f aca="true" t="shared" si="13" ref="P21:P31">F21*O21</f>
        <v>0</v>
      </c>
      <c r="Q21" s="38"/>
      <c r="R21" s="13">
        <f aca="true" t="shared" si="14" ref="R21:R31">(J21+L21+N21+P21)*Q21</f>
        <v>0</v>
      </c>
      <c r="S21" s="13">
        <f aca="true" t="shared" si="15" ref="S21:S31">J21+L21+N21+P21+R21</f>
        <v>144883.19999999998</v>
      </c>
      <c r="T21" s="38">
        <v>0.25</v>
      </c>
      <c r="U21" s="13">
        <f aca="true" t="shared" si="16" ref="U21:U31">S21*T21</f>
        <v>36220.799999999996</v>
      </c>
      <c r="V21" s="13">
        <f aca="true" t="shared" si="17" ref="V21:V31">S21+U21</f>
        <v>181103.99999999997</v>
      </c>
      <c r="W21" s="3"/>
      <c r="X21" s="58"/>
      <c r="Y21" s="3"/>
    </row>
    <row r="22" spans="1:25" s="4" customFormat="1" ht="22.5">
      <c r="A22" s="50">
        <v>1.09</v>
      </c>
      <c r="B22" s="3"/>
      <c r="C22" s="37"/>
      <c r="D22" s="56" t="s">
        <v>116</v>
      </c>
      <c r="E22" s="37" t="s">
        <v>117</v>
      </c>
      <c r="F22" s="63">
        <v>1</v>
      </c>
      <c r="G22" s="57" t="s">
        <v>67</v>
      </c>
      <c r="H22" s="13"/>
      <c r="I22" s="13">
        <f t="shared" si="9"/>
        <v>0</v>
      </c>
      <c r="J22" s="13">
        <f t="shared" si="10"/>
        <v>0</v>
      </c>
      <c r="K22" s="13"/>
      <c r="L22" s="13">
        <f t="shared" si="11"/>
        <v>0</v>
      </c>
      <c r="M22" s="81">
        <v>889246.4787999999</v>
      </c>
      <c r="N22" s="13">
        <f t="shared" si="12"/>
        <v>889246.4787999999</v>
      </c>
      <c r="O22" s="13"/>
      <c r="P22" s="13">
        <f t="shared" si="13"/>
        <v>0</v>
      </c>
      <c r="Q22" s="38"/>
      <c r="R22" s="13">
        <f t="shared" si="14"/>
        <v>0</v>
      </c>
      <c r="S22" s="13">
        <f t="shared" si="15"/>
        <v>889246.4787999999</v>
      </c>
      <c r="T22" s="38">
        <v>0.25</v>
      </c>
      <c r="U22" s="13">
        <f t="shared" si="16"/>
        <v>222311.61969999998</v>
      </c>
      <c r="V22" s="13">
        <f t="shared" si="17"/>
        <v>1111558.0984999998</v>
      </c>
      <c r="W22" s="3"/>
      <c r="X22" s="58"/>
      <c r="Y22" s="3"/>
    </row>
    <row r="23" spans="1:25" s="4" customFormat="1" ht="11.25">
      <c r="A23" s="50">
        <v>1.1</v>
      </c>
      <c r="B23" s="3"/>
      <c r="C23" s="37"/>
      <c r="D23" s="56"/>
      <c r="E23" s="37"/>
      <c r="F23" s="63"/>
      <c r="G23" s="57"/>
      <c r="H23" s="13"/>
      <c r="I23" s="13">
        <f t="shared" si="9"/>
        <v>0</v>
      </c>
      <c r="J23" s="13">
        <f t="shared" si="10"/>
        <v>0</v>
      </c>
      <c r="K23" s="13"/>
      <c r="L23" s="13">
        <f t="shared" si="11"/>
        <v>0</v>
      </c>
      <c r="M23" s="74"/>
      <c r="N23" s="13">
        <f t="shared" si="12"/>
        <v>0</v>
      </c>
      <c r="O23" s="13"/>
      <c r="P23" s="13">
        <f t="shared" si="13"/>
        <v>0</v>
      </c>
      <c r="Q23" s="38"/>
      <c r="R23" s="13">
        <f t="shared" si="14"/>
        <v>0</v>
      </c>
      <c r="S23" s="13">
        <f t="shared" si="15"/>
        <v>0</v>
      </c>
      <c r="T23" s="38"/>
      <c r="U23" s="13">
        <f t="shared" si="16"/>
        <v>0</v>
      </c>
      <c r="V23" s="13">
        <f t="shared" si="17"/>
        <v>0</v>
      </c>
      <c r="W23" s="3"/>
      <c r="X23" s="58"/>
      <c r="Y23" s="3"/>
    </row>
    <row r="24" spans="1:25" s="4" customFormat="1" ht="11.25">
      <c r="A24" s="50">
        <v>1.11</v>
      </c>
      <c r="B24" s="3"/>
      <c r="C24" s="37"/>
      <c r="D24" s="59" t="s">
        <v>99</v>
      </c>
      <c r="E24" s="37"/>
      <c r="F24" s="63"/>
      <c r="G24" s="57"/>
      <c r="H24" s="13"/>
      <c r="I24" s="13">
        <f t="shared" si="9"/>
        <v>0</v>
      </c>
      <c r="J24" s="13">
        <f t="shared" si="10"/>
        <v>0</v>
      </c>
      <c r="K24" s="13"/>
      <c r="L24" s="13">
        <f t="shared" si="11"/>
        <v>0</v>
      </c>
      <c r="M24" s="74"/>
      <c r="N24" s="13">
        <f t="shared" si="12"/>
        <v>0</v>
      </c>
      <c r="O24" s="13"/>
      <c r="P24" s="13">
        <f t="shared" si="13"/>
        <v>0</v>
      </c>
      <c r="Q24" s="38"/>
      <c r="R24" s="13">
        <f t="shared" si="14"/>
        <v>0</v>
      </c>
      <c r="S24" s="13">
        <f t="shared" si="15"/>
        <v>0</v>
      </c>
      <c r="T24" s="38"/>
      <c r="U24" s="13">
        <f t="shared" si="16"/>
        <v>0</v>
      </c>
      <c r="V24" s="13">
        <f t="shared" si="17"/>
        <v>0</v>
      </c>
      <c r="W24" s="3"/>
      <c r="X24" s="58"/>
      <c r="Y24" s="3"/>
    </row>
    <row r="25" spans="1:25" s="4" customFormat="1" ht="11.25">
      <c r="A25" s="50">
        <v>1.12</v>
      </c>
      <c r="B25" s="3"/>
      <c r="C25" s="37"/>
      <c r="D25" s="56" t="s">
        <v>135</v>
      </c>
      <c r="E25" s="37" t="s">
        <v>136</v>
      </c>
      <c r="F25" s="63">
        <v>3000000</v>
      </c>
      <c r="G25" s="57" t="s">
        <v>82</v>
      </c>
      <c r="H25" s="13"/>
      <c r="I25" s="13">
        <f>F25*H25</f>
        <v>0</v>
      </c>
      <c r="J25" s="13">
        <f>I25*$L$8</f>
        <v>0</v>
      </c>
      <c r="K25" s="13"/>
      <c r="L25" s="13">
        <f>F25*K25</f>
        <v>0</v>
      </c>
      <c r="M25" s="75">
        <v>1.6</v>
      </c>
      <c r="N25" s="13">
        <f>F25*M25</f>
        <v>4800000</v>
      </c>
      <c r="O25" s="13"/>
      <c r="P25" s="13">
        <f>F25*O25</f>
        <v>0</v>
      </c>
      <c r="Q25" s="38"/>
      <c r="R25" s="13">
        <f>(J25+L25+N25+P25)*Q25</f>
        <v>0</v>
      </c>
      <c r="S25" s="13">
        <f>J25+L25+N25+P25+R25</f>
        <v>4800000</v>
      </c>
      <c r="T25" s="38">
        <v>0.25</v>
      </c>
      <c r="U25" s="13">
        <f>S25*T25</f>
        <v>1200000</v>
      </c>
      <c r="V25" s="13">
        <f>S25+U25</f>
        <v>6000000</v>
      </c>
      <c r="W25" s="3"/>
      <c r="X25" s="58"/>
      <c r="Y25" s="3"/>
    </row>
    <row r="26" spans="1:25" s="4" customFormat="1" ht="22.5">
      <c r="A26" s="50">
        <v>1.13</v>
      </c>
      <c r="B26" s="3"/>
      <c r="C26" s="37"/>
      <c r="D26" s="56" t="s">
        <v>128</v>
      </c>
      <c r="E26" s="37" t="s">
        <v>129</v>
      </c>
      <c r="F26" s="63">
        <v>200000</v>
      </c>
      <c r="G26" s="57" t="s">
        <v>82</v>
      </c>
      <c r="H26" s="13"/>
      <c r="I26" s="13">
        <f t="shared" si="9"/>
        <v>0</v>
      </c>
      <c r="J26" s="13">
        <f t="shared" si="10"/>
        <v>0</v>
      </c>
      <c r="K26" s="13"/>
      <c r="L26" s="13">
        <f t="shared" si="11"/>
        <v>0</v>
      </c>
      <c r="M26" s="75">
        <f>4.9+4.9</f>
        <v>9.8</v>
      </c>
      <c r="N26" s="13">
        <f t="shared" si="12"/>
        <v>1960000.0000000002</v>
      </c>
      <c r="O26" s="13"/>
      <c r="P26" s="13">
        <f t="shared" si="13"/>
        <v>0</v>
      </c>
      <c r="Q26" s="38"/>
      <c r="R26" s="13">
        <f t="shared" si="14"/>
        <v>0</v>
      </c>
      <c r="S26" s="13">
        <f t="shared" si="15"/>
        <v>1960000.0000000002</v>
      </c>
      <c r="T26" s="38">
        <v>0.25</v>
      </c>
      <c r="U26" s="13">
        <f t="shared" si="16"/>
        <v>490000.00000000006</v>
      </c>
      <c r="V26" s="13">
        <f t="shared" si="17"/>
        <v>2450000.0000000005</v>
      </c>
      <c r="W26" s="3"/>
      <c r="X26" s="58"/>
      <c r="Y26" s="3"/>
    </row>
    <row r="27" spans="1:25" s="4" customFormat="1" ht="11.25">
      <c r="A27" s="50">
        <v>1.14</v>
      </c>
      <c r="B27" s="3"/>
      <c r="C27" s="37"/>
      <c r="D27" s="56" t="s">
        <v>132</v>
      </c>
      <c r="E27" s="37" t="s">
        <v>137</v>
      </c>
      <c r="F27" s="63">
        <v>500000</v>
      </c>
      <c r="G27" s="57" t="s">
        <v>82</v>
      </c>
      <c r="H27" s="13"/>
      <c r="I27" s="13">
        <f t="shared" si="9"/>
        <v>0</v>
      </c>
      <c r="J27" s="13">
        <f t="shared" si="10"/>
        <v>0</v>
      </c>
      <c r="K27" s="13"/>
      <c r="L27" s="13">
        <f t="shared" si="11"/>
        <v>0</v>
      </c>
      <c r="M27" s="75">
        <v>7.52</v>
      </c>
      <c r="N27" s="13">
        <f t="shared" si="12"/>
        <v>3760000</v>
      </c>
      <c r="O27" s="13"/>
      <c r="P27" s="13">
        <f t="shared" si="13"/>
        <v>0</v>
      </c>
      <c r="Q27" s="38"/>
      <c r="R27" s="13">
        <f t="shared" si="14"/>
        <v>0</v>
      </c>
      <c r="S27" s="13">
        <f t="shared" si="15"/>
        <v>3760000</v>
      </c>
      <c r="T27" s="38">
        <v>0.25</v>
      </c>
      <c r="U27" s="13">
        <f t="shared" si="16"/>
        <v>940000</v>
      </c>
      <c r="V27" s="13">
        <f t="shared" si="17"/>
        <v>4700000</v>
      </c>
      <c r="W27" s="3"/>
      <c r="X27" s="58"/>
      <c r="Y27" s="3"/>
    </row>
    <row r="28" spans="1:25" s="4" customFormat="1" ht="11.25">
      <c r="A28" s="50">
        <v>1.15</v>
      </c>
      <c r="B28" s="3"/>
      <c r="C28" s="37"/>
      <c r="D28" s="56"/>
      <c r="E28" s="37"/>
      <c r="F28" s="63"/>
      <c r="G28" s="57"/>
      <c r="H28" s="13"/>
      <c r="I28" s="13">
        <f t="shared" si="9"/>
        <v>0</v>
      </c>
      <c r="J28" s="13">
        <f t="shared" si="10"/>
        <v>0</v>
      </c>
      <c r="K28" s="13"/>
      <c r="L28" s="13">
        <f t="shared" si="11"/>
        <v>0</v>
      </c>
      <c r="M28" s="74"/>
      <c r="N28" s="13">
        <f t="shared" si="12"/>
        <v>0</v>
      </c>
      <c r="O28" s="13"/>
      <c r="P28" s="13">
        <f t="shared" si="13"/>
        <v>0</v>
      </c>
      <c r="Q28" s="38"/>
      <c r="R28" s="13">
        <f t="shared" si="14"/>
        <v>0</v>
      </c>
      <c r="S28" s="13">
        <f t="shared" si="15"/>
        <v>0</v>
      </c>
      <c r="T28" s="38"/>
      <c r="U28" s="13">
        <f t="shared" si="16"/>
        <v>0</v>
      </c>
      <c r="V28" s="13">
        <f t="shared" si="17"/>
        <v>0</v>
      </c>
      <c r="W28" s="3"/>
      <c r="X28" s="58"/>
      <c r="Y28" s="3"/>
    </row>
    <row r="29" spans="1:25" s="4" customFormat="1" ht="11.25">
      <c r="A29" s="50">
        <v>1.16</v>
      </c>
      <c r="B29" s="3"/>
      <c r="C29" s="37"/>
      <c r="D29" s="59" t="s">
        <v>130</v>
      </c>
      <c r="E29" s="37"/>
      <c r="F29" s="63"/>
      <c r="G29" s="57"/>
      <c r="H29" s="13"/>
      <c r="I29" s="13">
        <f t="shared" si="9"/>
        <v>0</v>
      </c>
      <c r="J29" s="13">
        <f t="shared" si="10"/>
        <v>0</v>
      </c>
      <c r="K29" s="13"/>
      <c r="L29" s="13">
        <f t="shared" si="11"/>
        <v>0</v>
      </c>
      <c r="M29" s="74"/>
      <c r="N29" s="13">
        <f t="shared" si="12"/>
        <v>0</v>
      </c>
      <c r="O29" s="13"/>
      <c r="P29" s="13">
        <f t="shared" si="13"/>
        <v>0</v>
      </c>
      <c r="Q29" s="38"/>
      <c r="R29" s="13">
        <f t="shared" si="14"/>
        <v>0</v>
      </c>
      <c r="S29" s="13">
        <f t="shared" si="15"/>
        <v>0</v>
      </c>
      <c r="T29" s="38"/>
      <c r="U29" s="13">
        <f t="shared" si="16"/>
        <v>0</v>
      </c>
      <c r="V29" s="13">
        <f t="shared" si="17"/>
        <v>0</v>
      </c>
      <c r="W29" s="3"/>
      <c r="X29" s="58"/>
      <c r="Y29" s="3"/>
    </row>
    <row r="30" spans="1:25" s="4" customFormat="1" ht="22.5">
      <c r="A30" s="50">
        <v>1.17</v>
      </c>
      <c r="B30" s="3"/>
      <c r="C30" s="37"/>
      <c r="D30" s="56" t="s">
        <v>131</v>
      </c>
      <c r="E30" s="37" t="s">
        <v>100</v>
      </c>
      <c r="F30" s="63">
        <v>31000</v>
      </c>
      <c r="G30" s="57" t="s">
        <v>82</v>
      </c>
      <c r="H30" s="13"/>
      <c r="I30" s="13">
        <f t="shared" si="9"/>
        <v>0</v>
      </c>
      <c r="J30" s="13">
        <f t="shared" si="10"/>
        <v>0</v>
      </c>
      <c r="K30" s="13"/>
      <c r="L30" s="13">
        <f t="shared" si="11"/>
        <v>0</v>
      </c>
      <c r="M30" s="75">
        <f>10.04+54.08+35.79+10.17</f>
        <v>110.08</v>
      </c>
      <c r="N30" s="13">
        <f t="shared" si="12"/>
        <v>3412480</v>
      </c>
      <c r="O30" s="13"/>
      <c r="P30" s="13">
        <f t="shared" si="13"/>
        <v>0</v>
      </c>
      <c r="Q30" s="38"/>
      <c r="R30" s="13">
        <f t="shared" si="14"/>
        <v>0</v>
      </c>
      <c r="S30" s="13">
        <f t="shared" si="15"/>
        <v>3412480</v>
      </c>
      <c r="T30" s="38">
        <v>0.25</v>
      </c>
      <c r="U30" s="13">
        <f t="shared" si="16"/>
        <v>853120</v>
      </c>
      <c r="V30" s="13">
        <f t="shared" si="17"/>
        <v>4265600</v>
      </c>
      <c r="W30" s="3"/>
      <c r="X30" s="58"/>
      <c r="Y30" s="3"/>
    </row>
    <row r="31" spans="1:25" s="4" customFormat="1" ht="22.5">
      <c r="A31" s="50">
        <v>1.18</v>
      </c>
      <c r="B31" s="3"/>
      <c r="C31" s="37"/>
      <c r="D31" s="56" t="s">
        <v>110</v>
      </c>
      <c r="E31" s="37" t="s">
        <v>100</v>
      </c>
      <c r="F31" s="63">
        <v>13000</v>
      </c>
      <c r="G31" s="57" t="s">
        <v>82</v>
      </c>
      <c r="H31" s="13"/>
      <c r="I31" s="13">
        <f t="shared" si="9"/>
        <v>0</v>
      </c>
      <c r="J31" s="13">
        <f t="shared" si="10"/>
        <v>0</v>
      </c>
      <c r="K31" s="13"/>
      <c r="L31" s="13">
        <f t="shared" si="11"/>
        <v>0</v>
      </c>
      <c r="M31" s="75">
        <f>10.04+65.34+35.79+9.04</f>
        <v>120.20999999999998</v>
      </c>
      <c r="N31" s="13">
        <f t="shared" si="12"/>
        <v>1562729.9999999998</v>
      </c>
      <c r="O31" s="13"/>
      <c r="P31" s="13">
        <f t="shared" si="13"/>
        <v>0</v>
      </c>
      <c r="Q31" s="38"/>
      <c r="R31" s="13">
        <f t="shared" si="14"/>
        <v>0</v>
      </c>
      <c r="S31" s="13">
        <f t="shared" si="15"/>
        <v>1562729.9999999998</v>
      </c>
      <c r="T31" s="38">
        <v>0.25</v>
      </c>
      <c r="U31" s="13">
        <f t="shared" si="16"/>
        <v>390682.49999999994</v>
      </c>
      <c r="V31" s="13">
        <f t="shared" si="17"/>
        <v>1953412.4999999998</v>
      </c>
      <c r="W31" s="3"/>
      <c r="X31" s="58"/>
      <c r="Y31" s="3"/>
    </row>
    <row r="32" spans="1:25" s="4" customFormat="1" ht="11.25">
      <c r="A32" s="50">
        <v>1.19</v>
      </c>
      <c r="B32" s="3"/>
      <c r="C32" s="37"/>
      <c r="D32" s="56"/>
      <c r="E32" s="37"/>
      <c r="F32" s="63"/>
      <c r="G32" s="57"/>
      <c r="H32" s="13"/>
      <c r="I32" s="13">
        <f aca="true" t="shared" si="18" ref="I32:I43">F32*H32</f>
        <v>0</v>
      </c>
      <c r="J32" s="13">
        <f aca="true" t="shared" si="19" ref="J32:J43">I32*$L$8</f>
        <v>0</v>
      </c>
      <c r="K32" s="13"/>
      <c r="L32" s="13">
        <f aca="true" t="shared" si="20" ref="L32:L43">F32*K32</f>
        <v>0</v>
      </c>
      <c r="M32" s="74"/>
      <c r="N32" s="13">
        <f aca="true" t="shared" si="21" ref="N32:N43">F32*M32</f>
        <v>0</v>
      </c>
      <c r="O32" s="13"/>
      <c r="P32" s="13">
        <f aca="true" t="shared" si="22" ref="P32:P43">F32*O32</f>
        <v>0</v>
      </c>
      <c r="Q32" s="38"/>
      <c r="R32" s="13">
        <f aca="true" t="shared" si="23" ref="R32:R43">(J32+L32+N32+P32)*Q32</f>
        <v>0</v>
      </c>
      <c r="S32" s="13">
        <f aca="true" t="shared" si="24" ref="S32:S43">J32+L32+N32+P32+R32</f>
        <v>0</v>
      </c>
      <c r="T32" s="38"/>
      <c r="U32" s="13">
        <f aca="true" t="shared" si="25" ref="U32:U43">S32*T32</f>
        <v>0</v>
      </c>
      <c r="V32" s="13">
        <f aca="true" t="shared" si="26" ref="V32:V43">S32+U32</f>
        <v>0</v>
      </c>
      <c r="W32" s="3"/>
      <c r="X32" s="58"/>
      <c r="Y32" s="3"/>
    </row>
    <row r="33" spans="1:25" s="4" customFormat="1" ht="11.25">
      <c r="A33" s="50">
        <v>1.2</v>
      </c>
      <c r="B33" s="3"/>
      <c r="C33" s="37"/>
      <c r="D33" s="59" t="s">
        <v>109</v>
      </c>
      <c r="E33" s="37"/>
      <c r="F33" s="63"/>
      <c r="G33" s="57"/>
      <c r="H33" s="13"/>
      <c r="I33" s="13">
        <f t="shared" si="18"/>
        <v>0</v>
      </c>
      <c r="J33" s="13">
        <f t="shared" si="19"/>
        <v>0</v>
      </c>
      <c r="K33" s="13"/>
      <c r="L33" s="13">
        <f t="shared" si="20"/>
        <v>0</v>
      </c>
      <c r="M33" s="74"/>
      <c r="N33" s="13">
        <f t="shared" si="21"/>
        <v>0</v>
      </c>
      <c r="O33" s="13"/>
      <c r="P33" s="13">
        <f t="shared" si="22"/>
        <v>0</v>
      </c>
      <c r="Q33" s="38"/>
      <c r="R33" s="13">
        <f t="shared" si="23"/>
        <v>0</v>
      </c>
      <c r="S33" s="13">
        <f t="shared" si="24"/>
        <v>0</v>
      </c>
      <c r="T33" s="38"/>
      <c r="U33" s="13">
        <f t="shared" si="25"/>
        <v>0</v>
      </c>
      <c r="V33" s="13">
        <f t="shared" si="26"/>
        <v>0</v>
      </c>
      <c r="W33" s="3"/>
      <c r="X33" s="58"/>
      <c r="Y33" s="3"/>
    </row>
    <row r="34" spans="1:25" s="4" customFormat="1" ht="11.25">
      <c r="A34" s="50">
        <v>1.21</v>
      </c>
      <c r="B34" s="3"/>
      <c r="C34" s="37"/>
      <c r="D34" s="56" t="s">
        <v>102</v>
      </c>
      <c r="E34" s="37" t="s">
        <v>105</v>
      </c>
      <c r="F34" s="63">
        <v>20250</v>
      </c>
      <c r="G34" s="57" t="s">
        <v>82</v>
      </c>
      <c r="H34" s="13"/>
      <c r="I34" s="13">
        <f t="shared" si="18"/>
        <v>0</v>
      </c>
      <c r="J34" s="13">
        <f t="shared" si="19"/>
        <v>0</v>
      </c>
      <c r="K34" s="13"/>
      <c r="L34" s="13">
        <f t="shared" si="20"/>
        <v>0</v>
      </c>
      <c r="M34" s="74">
        <v>5.22</v>
      </c>
      <c r="N34" s="13">
        <f t="shared" si="21"/>
        <v>105705</v>
      </c>
      <c r="O34" s="13"/>
      <c r="P34" s="13">
        <f t="shared" si="22"/>
        <v>0</v>
      </c>
      <c r="Q34" s="38"/>
      <c r="R34" s="13">
        <f t="shared" si="23"/>
        <v>0</v>
      </c>
      <c r="S34" s="13">
        <f t="shared" si="24"/>
        <v>105705</v>
      </c>
      <c r="T34" s="38">
        <v>0.25</v>
      </c>
      <c r="U34" s="13">
        <f t="shared" si="25"/>
        <v>26426.25</v>
      </c>
      <c r="V34" s="13">
        <f t="shared" si="26"/>
        <v>132131.25</v>
      </c>
      <c r="W34" s="3"/>
      <c r="X34" s="58"/>
      <c r="Y34" s="3"/>
    </row>
    <row r="35" spans="1:25" s="4" customFormat="1" ht="22.5">
      <c r="A35" s="50">
        <v>1.22</v>
      </c>
      <c r="B35" s="3"/>
      <c r="C35" s="37"/>
      <c r="D35" s="56" t="s">
        <v>103</v>
      </c>
      <c r="E35" s="37" t="s">
        <v>100</v>
      </c>
      <c r="F35" s="63">
        <v>2500</v>
      </c>
      <c r="G35" s="57" t="s">
        <v>82</v>
      </c>
      <c r="H35" s="13"/>
      <c r="I35" s="13">
        <f t="shared" si="18"/>
        <v>0</v>
      </c>
      <c r="J35" s="13">
        <f t="shared" si="19"/>
        <v>0</v>
      </c>
      <c r="K35" s="13"/>
      <c r="L35" s="13">
        <f t="shared" si="20"/>
        <v>0</v>
      </c>
      <c r="M35" s="75">
        <f>10.04+51.43+35.79+10.17</f>
        <v>107.42999999999999</v>
      </c>
      <c r="N35" s="13">
        <f t="shared" si="21"/>
        <v>268575</v>
      </c>
      <c r="O35" s="13"/>
      <c r="P35" s="13">
        <f t="shared" si="22"/>
        <v>0</v>
      </c>
      <c r="Q35" s="38"/>
      <c r="R35" s="13">
        <f t="shared" si="23"/>
        <v>0</v>
      </c>
      <c r="S35" s="13">
        <f t="shared" si="24"/>
        <v>268575</v>
      </c>
      <c r="T35" s="38">
        <v>0.25</v>
      </c>
      <c r="U35" s="13">
        <f t="shared" si="25"/>
        <v>67143.75</v>
      </c>
      <c r="V35" s="13">
        <f t="shared" si="26"/>
        <v>335718.75</v>
      </c>
      <c r="W35" s="3"/>
      <c r="X35" s="58"/>
      <c r="Y35" s="3"/>
    </row>
    <row r="36" spans="1:25" s="4" customFormat="1" ht="11.25">
      <c r="A36" s="50">
        <v>1.23</v>
      </c>
      <c r="B36" s="3"/>
      <c r="C36" s="37"/>
      <c r="D36" s="56" t="s">
        <v>114</v>
      </c>
      <c r="E36" s="37" t="s">
        <v>115</v>
      </c>
      <c r="F36" s="63">
        <f>F35/0.3</f>
        <v>8333.333333333334</v>
      </c>
      <c r="G36" s="57" t="s">
        <v>104</v>
      </c>
      <c r="H36" s="13"/>
      <c r="I36" s="13">
        <f t="shared" si="18"/>
        <v>0</v>
      </c>
      <c r="J36" s="13">
        <f t="shared" si="19"/>
        <v>0</v>
      </c>
      <c r="K36" s="13"/>
      <c r="L36" s="13">
        <f t="shared" si="20"/>
        <v>0</v>
      </c>
      <c r="M36" s="74">
        <v>3.62</v>
      </c>
      <c r="N36" s="13">
        <f t="shared" si="21"/>
        <v>30166.66666666667</v>
      </c>
      <c r="O36" s="13"/>
      <c r="P36" s="13">
        <f t="shared" si="22"/>
        <v>0</v>
      </c>
      <c r="Q36" s="38"/>
      <c r="R36" s="13">
        <f t="shared" si="23"/>
        <v>0</v>
      </c>
      <c r="S36" s="13">
        <f t="shared" si="24"/>
        <v>30166.66666666667</v>
      </c>
      <c r="T36" s="38">
        <v>0.25</v>
      </c>
      <c r="U36" s="13">
        <f t="shared" si="25"/>
        <v>7541.666666666668</v>
      </c>
      <c r="V36" s="13">
        <f t="shared" si="26"/>
        <v>37708.33333333334</v>
      </c>
      <c r="W36" s="3"/>
      <c r="X36" s="58"/>
      <c r="Y36" s="3"/>
    </row>
    <row r="37" spans="1:25" s="4" customFormat="1" ht="22.5">
      <c r="A37" s="50">
        <v>1.24</v>
      </c>
      <c r="B37" s="3"/>
      <c r="C37" s="37"/>
      <c r="D37" s="56" t="s">
        <v>133</v>
      </c>
      <c r="E37" s="37" t="s">
        <v>100</v>
      </c>
      <c r="F37" s="63">
        <v>2900</v>
      </c>
      <c r="G37" s="57" t="s">
        <v>82</v>
      </c>
      <c r="H37" s="13"/>
      <c r="I37" s="13">
        <f t="shared" si="18"/>
        <v>0</v>
      </c>
      <c r="J37" s="13">
        <f t="shared" si="19"/>
        <v>0</v>
      </c>
      <c r="K37" s="13"/>
      <c r="L37" s="13">
        <f t="shared" si="20"/>
        <v>0</v>
      </c>
      <c r="M37" s="75">
        <f>10.04+50.33+35.79+9.04</f>
        <v>105.19999999999999</v>
      </c>
      <c r="N37" s="13">
        <f t="shared" si="21"/>
        <v>305079.99999999994</v>
      </c>
      <c r="O37" s="13"/>
      <c r="P37" s="13">
        <f t="shared" si="22"/>
        <v>0</v>
      </c>
      <c r="Q37" s="38"/>
      <c r="R37" s="13">
        <f t="shared" si="23"/>
        <v>0</v>
      </c>
      <c r="S37" s="13">
        <f t="shared" si="24"/>
        <v>305079.99999999994</v>
      </c>
      <c r="T37" s="38">
        <v>0.25</v>
      </c>
      <c r="U37" s="13">
        <f t="shared" si="25"/>
        <v>76269.99999999999</v>
      </c>
      <c r="V37" s="13">
        <f t="shared" si="26"/>
        <v>381349.99999999994</v>
      </c>
      <c r="W37" s="3"/>
      <c r="X37" s="58"/>
      <c r="Y37" s="3"/>
    </row>
    <row r="38" spans="1:25" s="4" customFormat="1" ht="22.5">
      <c r="A38" s="50">
        <v>1.25</v>
      </c>
      <c r="B38" s="3"/>
      <c r="C38" s="37"/>
      <c r="D38" s="56" t="s">
        <v>110</v>
      </c>
      <c r="E38" s="37" t="s">
        <v>100</v>
      </c>
      <c r="F38" s="63">
        <v>2400</v>
      </c>
      <c r="G38" s="57" t="s">
        <v>82</v>
      </c>
      <c r="H38" s="13"/>
      <c r="I38" s="13">
        <f t="shared" si="18"/>
        <v>0</v>
      </c>
      <c r="J38" s="13">
        <f t="shared" si="19"/>
        <v>0</v>
      </c>
      <c r="K38" s="13"/>
      <c r="L38" s="13">
        <f t="shared" si="20"/>
        <v>0</v>
      </c>
      <c r="M38" s="75">
        <f>10.04+76.02+35.79+9.04</f>
        <v>130.89</v>
      </c>
      <c r="N38" s="13">
        <f t="shared" si="21"/>
        <v>314135.99999999994</v>
      </c>
      <c r="O38" s="13"/>
      <c r="P38" s="13">
        <f t="shared" si="22"/>
        <v>0</v>
      </c>
      <c r="Q38" s="38"/>
      <c r="R38" s="13">
        <f t="shared" si="23"/>
        <v>0</v>
      </c>
      <c r="S38" s="13">
        <f t="shared" si="24"/>
        <v>314135.99999999994</v>
      </c>
      <c r="T38" s="38">
        <v>0.25</v>
      </c>
      <c r="U38" s="13">
        <f t="shared" si="25"/>
        <v>78533.99999999999</v>
      </c>
      <c r="V38" s="13">
        <f t="shared" si="26"/>
        <v>392669.99999999994</v>
      </c>
      <c r="W38" s="3"/>
      <c r="X38" s="58"/>
      <c r="Y38" s="3"/>
    </row>
    <row r="39" spans="1:25" s="4" customFormat="1" ht="11.25">
      <c r="A39" s="50">
        <v>1.26</v>
      </c>
      <c r="B39" s="3"/>
      <c r="C39" s="37"/>
      <c r="D39" s="56"/>
      <c r="E39" s="37"/>
      <c r="F39" s="63"/>
      <c r="G39" s="57"/>
      <c r="H39" s="13"/>
      <c r="I39" s="13">
        <f t="shared" si="18"/>
        <v>0</v>
      </c>
      <c r="J39" s="13">
        <f t="shared" si="19"/>
        <v>0</v>
      </c>
      <c r="K39" s="13"/>
      <c r="L39" s="13">
        <f t="shared" si="20"/>
        <v>0</v>
      </c>
      <c r="M39" s="74"/>
      <c r="N39" s="13">
        <f t="shared" si="21"/>
        <v>0</v>
      </c>
      <c r="O39" s="13"/>
      <c r="P39" s="13">
        <f t="shared" si="22"/>
        <v>0</v>
      </c>
      <c r="Q39" s="38"/>
      <c r="R39" s="13">
        <f t="shared" si="23"/>
        <v>0</v>
      </c>
      <c r="S39" s="13">
        <f t="shared" si="24"/>
        <v>0</v>
      </c>
      <c r="T39" s="38"/>
      <c r="U39" s="13">
        <f t="shared" si="25"/>
        <v>0</v>
      </c>
      <c r="V39" s="13">
        <f t="shared" si="26"/>
        <v>0</v>
      </c>
      <c r="W39" s="3"/>
      <c r="X39" s="58"/>
      <c r="Y39" s="3"/>
    </row>
    <row r="40" spans="1:25" s="4" customFormat="1" ht="11.25">
      <c r="A40" s="50">
        <v>1.27</v>
      </c>
      <c r="B40" s="3"/>
      <c r="C40" s="37"/>
      <c r="D40" s="59" t="s">
        <v>118</v>
      </c>
      <c r="E40" s="37"/>
      <c r="F40" s="63"/>
      <c r="G40" s="57"/>
      <c r="H40" s="13"/>
      <c r="I40" s="13">
        <f t="shared" si="18"/>
        <v>0</v>
      </c>
      <c r="J40" s="13">
        <f t="shared" si="19"/>
        <v>0</v>
      </c>
      <c r="K40" s="13"/>
      <c r="L40" s="13">
        <f t="shared" si="20"/>
        <v>0</v>
      </c>
      <c r="M40" s="13"/>
      <c r="N40" s="13">
        <f t="shared" si="21"/>
        <v>0</v>
      </c>
      <c r="O40" s="13"/>
      <c r="P40" s="13">
        <f t="shared" si="22"/>
        <v>0</v>
      </c>
      <c r="Q40" s="38"/>
      <c r="R40" s="13">
        <f t="shared" si="23"/>
        <v>0</v>
      </c>
      <c r="S40" s="13">
        <f t="shared" si="24"/>
        <v>0</v>
      </c>
      <c r="T40" s="38"/>
      <c r="U40" s="13">
        <f t="shared" si="25"/>
        <v>0</v>
      </c>
      <c r="V40" s="13">
        <f t="shared" si="26"/>
        <v>0</v>
      </c>
      <c r="W40" s="3"/>
      <c r="X40" s="58"/>
      <c r="Y40" s="3"/>
    </row>
    <row r="41" spans="1:25" s="4" customFormat="1" ht="11.25">
      <c r="A41" s="50">
        <v>1.28</v>
      </c>
      <c r="B41" s="3"/>
      <c r="C41" s="37"/>
      <c r="D41" s="56" t="s">
        <v>119</v>
      </c>
      <c r="E41" s="37" t="s">
        <v>120</v>
      </c>
      <c r="F41" s="63">
        <v>1</v>
      </c>
      <c r="G41" s="57" t="s">
        <v>66</v>
      </c>
      <c r="H41" s="13"/>
      <c r="I41" s="13">
        <f t="shared" si="18"/>
        <v>0</v>
      </c>
      <c r="J41" s="13">
        <f t="shared" si="19"/>
        <v>0</v>
      </c>
      <c r="K41" s="13"/>
      <c r="L41" s="13">
        <f t="shared" si="20"/>
        <v>0</v>
      </c>
      <c r="M41" s="82">
        <f>26000+16800</f>
        <v>42800</v>
      </c>
      <c r="N41" s="13">
        <f t="shared" si="21"/>
        <v>42800</v>
      </c>
      <c r="O41" s="13"/>
      <c r="P41" s="13">
        <f t="shared" si="22"/>
        <v>0</v>
      </c>
      <c r="Q41" s="38"/>
      <c r="R41" s="13">
        <f t="shared" si="23"/>
        <v>0</v>
      </c>
      <c r="S41" s="13">
        <f t="shared" si="24"/>
        <v>42800</v>
      </c>
      <c r="T41" s="38">
        <v>0.25</v>
      </c>
      <c r="U41" s="13">
        <f t="shared" si="25"/>
        <v>10700</v>
      </c>
      <c r="V41" s="13">
        <f t="shared" si="26"/>
        <v>53500</v>
      </c>
      <c r="W41" s="3"/>
      <c r="X41" s="58"/>
      <c r="Y41" s="3"/>
    </row>
    <row r="42" spans="1:25" s="4" customFormat="1" ht="11.25">
      <c r="A42" s="50">
        <v>1.29</v>
      </c>
      <c r="B42" s="3"/>
      <c r="C42" s="37"/>
      <c r="D42" s="56" t="s">
        <v>121</v>
      </c>
      <c r="E42" s="37" t="s">
        <v>122</v>
      </c>
      <c r="F42" s="63">
        <v>2</v>
      </c>
      <c r="G42" s="57" t="s">
        <v>66</v>
      </c>
      <c r="H42" s="13"/>
      <c r="I42" s="13">
        <f t="shared" si="18"/>
        <v>0</v>
      </c>
      <c r="J42" s="13">
        <f t="shared" si="19"/>
        <v>0</v>
      </c>
      <c r="K42" s="13"/>
      <c r="L42" s="13">
        <f t="shared" si="20"/>
        <v>0</v>
      </c>
      <c r="M42" s="82">
        <f>((1*100)+(87.2+9.15+9.15)+100)*30.4*7.25</f>
        <v>67332.2</v>
      </c>
      <c r="N42" s="13">
        <f t="shared" si="21"/>
        <v>134664.4</v>
      </c>
      <c r="O42" s="13"/>
      <c r="P42" s="13">
        <f t="shared" si="22"/>
        <v>0</v>
      </c>
      <c r="Q42" s="38"/>
      <c r="R42" s="13">
        <f t="shared" si="23"/>
        <v>0</v>
      </c>
      <c r="S42" s="13">
        <f t="shared" si="24"/>
        <v>134664.4</v>
      </c>
      <c r="T42" s="38">
        <v>0.25</v>
      </c>
      <c r="U42" s="13">
        <f t="shared" si="25"/>
        <v>33666.1</v>
      </c>
      <c r="V42" s="13">
        <f t="shared" si="26"/>
        <v>168330.5</v>
      </c>
      <c r="W42" s="3"/>
      <c r="X42" s="58"/>
      <c r="Y42" s="3"/>
    </row>
    <row r="43" spans="1:25" s="4" customFormat="1" ht="11.25">
      <c r="A43" s="50">
        <v>1.3</v>
      </c>
      <c r="B43" s="3"/>
      <c r="C43" s="37"/>
      <c r="D43" s="56"/>
      <c r="E43" s="37"/>
      <c r="F43" s="63"/>
      <c r="G43" s="57"/>
      <c r="H43" s="13"/>
      <c r="I43" s="13">
        <f t="shared" si="18"/>
        <v>0</v>
      </c>
      <c r="J43" s="13">
        <f t="shared" si="19"/>
        <v>0</v>
      </c>
      <c r="K43" s="13"/>
      <c r="L43" s="13">
        <f t="shared" si="20"/>
        <v>0</v>
      </c>
      <c r="M43" s="74"/>
      <c r="N43" s="13">
        <f t="shared" si="21"/>
        <v>0</v>
      </c>
      <c r="O43" s="13"/>
      <c r="P43" s="13">
        <f t="shared" si="22"/>
        <v>0</v>
      </c>
      <c r="Q43" s="38"/>
      <c r="R43" s="13">
        <f t="shared" si="23"/>
        <v>0</v>
      </c>
      <c r="S43" s="13">
        <f t="shared" si="24"/>
        <v>0</v>
      </c>
      <c r="T43" s="38"/>
      <c r="U43" s="13">
        <f t="shared" si="25"/>
        <v>0</v>
      </c>
      <c r="V43" s="13">
        <f t="shared" si="26"/>
        <v>0</v>
      </c>
      <c r="W43" s="3"/>
      <c r="X43" s="58"/>
      <c r="Y43" s="3"/>
    </row>
    <row r="44" spans="1:25" s="4" customFormat="1" ht="11.25">
      <c r="A44" s="50">
        <v>1.31</v>
      </c>
      <c r="B44" s="3"/>
      <c r="C44" s="37"/>
      <c r="D44" s="59" t="s">
        <v>71</v>
      </c>
      <c r="E44" s="37" t="s">
        <v>111</v>
      </c>
      <c r="F44" s="63"/>
      <c r="G44" s="57"/>
      <c r="H44" s="13"/>
      <c r="I44" s="13">
        <f aca="true" t="shared" si="27" ref="I44:I67">F44*H44</f>
        <v>0</v>
      </c>
      <c r="J44" s="13">
        <f aca="true" t="shared" si="28" ref="J44:J67">I44*$L$8</f>
        <v>0</v>
      </c>
      <c r="K44" s="13"/>
      <c r="L44" s="13">
        <f aca="true" t="shared" si="29" ref="L44:L67">F44*K44</f>
        <v>0</v>
      </c>
      <c r="M44" s="74"/>
      <c r="N44" s="13">
        <f aca="true" t="shared" si="30" ref="N44:N67">F44*M44</f>
        <v>0</v>
      </c>
      <c r="O44" s="13"/>
      <c r="P44" s="13">
        <f aca="true" t="shared" si="31" ref="P44:P67">F44*O44</f>
        <v>0</v>
      </c>
      <c r="Q44" s="38"/>
      <c r="R44" s="13">
        <f aca="true" t="shared" si="32" ref="R44:R67">(J44+L44+N44+P44)*Q44</f>
        <v>0</v>
      </c>
      <c r="S44" s="13">
        <f aca="true" t="shared" si="33" ref="S44:S67">J44+L44+N44+P44+R44</f>
        <v>0</v>
      </c>
      <c r="T44" s="38"/>
      <c r="U44" s="13">
        <f aca="true" t="shared" si="34" ref="U44:U67">S44*T44</f>
        <v>0</v>
      </c>
      <c r="V44" s="13">
        <f aca="true" t="shared" si="35" ref="V44:V67">S44+U44</f>
        <v>0</v>
      </c>
      <c r="W44" s="3"/>
      <c r="X44" s="58"/>
      <c r="Y44" s="3"/>
    </row>
    <row r="45" spans="1:25" s="4" customFormat="1" ht="11.25">
      <c r="A45" s="50">
        <v>1.32</v>
      </c>
      <c r="B45" s="3"/>
      <c r="C45" s="37"/>
      <c r="D45" s="56" t="s">
        <v>139</v>
      </c>
      <c r="E45" s="37"/>
      <c r="F45" s="63">
        <f>10.5*30.4</f>
        <v>319.2</v>
      </c>
      <c r="G45" s="57" t="s">
        <v>77</v>
      </c>
      <c r="H45" s="13"/>
      <c r="I45" s="13">
        <f t="shared" si="27"/>
        <v>0</v>
      </c>
      <c r="J45" s="13">
        <f t="shared" si="28"/>
        <v>0</v>
      </c>
      <c r="K45" s="13"/>
      <c r="L45" s="13">
        <f t="shared" si="29"/>
        <v>0</v>
      </c>
      <c r="M45" s="74">
        <f>2*150</f>
        <v>300</v>
      </c>
      <c r="N45" s="13">
        <f t="shared" si="30"/>
        <v>95760</v>
      </c>
      <c r="O45" s="13"/>
      <c r="P45" s="13">
        <f t="shared" si="31"/>
        <v>0</v>
      </c>
      <c r="Q45" s="38"/>
      <c r="R45" s="13">
        <f t="shared" si="32"/>
        <v>0</v>
      </c>
      <c r="S45" s="13">
        <f t="shared" si="33"/>
        <v>95760</v>
      </c>
      <c r="T45" s="38">
        <v>0.25</v>
      </c>
      <c r="U45" s="13">
        <f t="shared" si="34"/>
        <v>23940</v>
      </c>
      <c r="V45" s="13">
        <f t="shared" si="35"/>
        <v>119700</v>
      </c>
      <c r="W45" s="3"/>
      <c r="X45" s="58"/>
      <c r="Y45" s="3"/>
    </row>
    <row r="46" spans="1:25" s="4" customFormat="1" ht="11.25">
      <c r="A46" s="50">
        <v>1.33</v>
      </c>
      <c r="B46" s="3"/>
      <c r="C46" s="37"/>
      <c r="D46" s="56" t="s">
        <v>140</v>
      </c>
      <c r="E46" s="37"/>
      <c r="F46" s="63">
        <v>1</v>
      </c>
      <c r="G46" s="57" t="s">
        <v>67</v>
      </c>
      <c r="H46" s="13"/>
      <c r="I46" s="13">
        <f t="shared" si="27"/>
        <v>0</v>
      </c>
      <c r="J46" s="13">
        <f t="shared" si="28"/>
        <v>0</v>
      </c>
      <c r="K46" s="13"/>
      <c r="L46" s="13">
        <f t="shared" si="29"/>
        <v>0</v>
      </c>
      <c r="M46" s="74">
        <v>15000</v>
      </c>
      <c r="N46" s="13">
        <f t="shared" si="30"/>
        <v>15000</v>
      </c>
      <c r="O46" s="13"/>
      <c r="P46" s="13">
        <f t="shared" si="31"/>
        <v>0</v>
      </c>
      <c r="Q46" s="38"/>
      <c r="R46" s="13">
        <f t="shared" si="32"/>
        <v>0</v>
      </c>
      <c r="S46" s="13">
        <f t="shared" si="33"/>
        <v>15000</v>
      </c>
      <c r="T46" s="38">
        <v>0.25</v>
      </c>
      <c r="U46" s="13">
        <f t="shared" si="34"/>
        <v>3750</v>
      </c>
      <c r="V46" s="13">
        <f t="shared" si="35"/>
        <v>18750</v>
      </c>
      <c r="W46" s="3"/>
      <c r="X46" s="58"/>
      <c r="Y46" s="3"/>
    </row>
    <row r="47" spans="1:25" s="4" customFormat="1" ht="11.25">
      <c r="A47" s="50">
        <v>1.34</v>
      </c>
      <c r="B47" s="3"/>
      <c r="C47" s="37"/>
      <c r="D47" s="56" t="s">
        <v>141</v>
      </c>
      <c r="E47" s="37"/>
      <c r="F47" s="63">
        <v>10.5</v>
      </c>
      <c r="G47" s="57" t="s">
        <v>75</v>
      </c>
      <c r="H47" s="13"/>
      <c r="I47" s="13">
        <f t="shared" si="27"/>
        <v>0</v>
      </c>
      <c r="J47" s="13">
        <f t="shared" si="28"/>
        <v>0</v>
      </c>
      <c r="K47" s="13"/>
      <c r="L47" s="13">
        <f t="shared" si="29"/>
        <v>0</v>
      </c>
      <c r="M47" s="74">
        <v>2000</v>
      </c>
      <c r="N47" s="13">
        <f t="shared" si="30"/>
        <v>21000</v>
      </c>
      <c r="O47" s="13"/>
      <c r="P47" s="13">
        <f t="shared" si="31"/>
        <v>0</v>
      </c>
      <c r="Q47" s="38"/>
      <c r="R47" s="13">
        <f t="shared" si="32"/>
        <v>0</v>
      </c>
      <c r="S47" s="13">
        <f t="shared" si="33"/>
        <v>21000</v>
      </c>
      <c r="T47" s="38">
        <v>0.25</v>
      </c>
      <c r="U47" s="13">
        <f t="shared" si="34"/>
        <v>5250</v>
      </c>
      <c r="V47" s="13">
        <f t="shared" si="35"/>
        <v>26250</v>
      </c>
      <c r="W47" s="3"/>
      <c r="X47" s="58"/>
      <c r="Y47" s="3"/>
    </row>
    <row r="48" spans="1:25" s="4" customFormat="1" ht="11.25">
      <c r="A48" s="50">
        <v>1.35</v>
      </c>
      <c r="B48" s="3"/>
      <c r="C48" s="37"/>
      <c r="D48" s="56" t="s">
        <v>142</v>
      </c>
      <c r="E48" s="37" t="s">
        <v>93</v>
      </c>
      <c r="F48" s="63">
        <f>F47</f>
        <v>10.5</v>
      </c>
      <c r="G48" s="57" t="s">
        <v>75</v>
      </c>
      <c r="H48" s="13"/>
      <c r="I48" s="13">
        <f t="shared" si="27"/>
        <v>0</v>
      </c>
      <c r="J48" s="13">
        <f t="shared" si="28"/>
        <v>0</v>
      </c>
      <c r="K48" s="13"/>
      <c r="L48" s="13">
        <f t="shared" si="29"/>
        <v>0</v>
      </c>
      <c r="M48" s="74">
        <v>5000</v>
      </c>
      <c r="N48" s="13">
        <f t="shared" si="30"/>
        <v>52500</v>
      </c>
      <c r="O48" s="13"/>
      <c r="P48" s="13">
        <f t="shared" si="31"/>
        <v>0</v>
      </c>
      <c r="Q48" s="38"/>
      <c r="R48" s="13">
        <f t="shared" si="32"/>
        <v>0</v>
      </c>
      <c r="S48" s="13">
        <f t="shared" si="33"/>
        <v>52500</v>
      </c>
      <c r="T48" s="38">
        <v>0.25</v>
      </c>
      <c r="U48" s="13">
        <f t="shared" si="34"/>
        <v>13125</v>
      </c>
      <c r="V48" s="13">
        <f t="shared" si="35"/>
        <v>65625</v>
      </c>
      <c r="W48" s="3"/>
      <c r="X48" s="58"/>
      <c r="Y48" s="3"/>
    </row>
    <row r="49" spans="1:25" s="4" customFormat="1" ht="11.25">
      <c r="A49" s="50">
        <v>1.36</v>
      </c>
      <c r="B49" s="3"/>
      <c r="C49" s="37"/>
      <c r="D49" s="56" t="s">
        <v>143</v>
      </c>
      <c r="E49" s="37" t="s">
        <v>92</v>
      </c>
      <c r="F49" s="63">
        <f>F45</f>
        <v>319.2</v>
      </c>
      <c r="G49" s="57" t="s">
        <v>77</v>
      </c>
      <c r="H49" s="13"/>
      <c r="I49" s="13">
        <f t="shared" si="27"/>
        <v>0</v>
      </c>
      <c r="J49" s="13">
        <f t="shared" si="28"/>
        <v>0</v>
      </c>
      <c r="K49" s="13"/>
      <c r="L49" s="13">
        <f t="shared" si="29"/>
        <v>0</v>
      </c>
      <c r="M49" s="74">
        <f>6*150</f>
        <v>900</v>
      </c>
      <c r="N49" s="13">
        <f t="shared" si="30"/>
        <v>287280</v>
      </c>
      <c r="O49" s="13"/>
      <c r="P49" s="13">
        <f t="shared" si="31"/>
        <v>0</v>
      </c>
      <c r="Q49" s="38"/>
      <c r="R49" s="13">
        <f t="shared" si="32"/>
        <v>0</v>
      </c>
      <c r="S49" s="13">
        <f t="shared" si="33"/>
        <v>287280</v>
      </c>
      <c r="T49" s="38">
        <v>0.25</v>
      </c>
      <c r="U49" s="13">
        <f t="shared" si="34"/>
        <v>71820</v>
      </c>
      <c r="V49" s="13">
        <f t="shared" si="35"/>
        <v>359100</v>
      </c>
      <c r="W49" s="3"/>
      <c r="X49" s="58"/>
      <c r="Y49" s="3"/>
    </row>
    <row r="50" spans="1:25" s="4" customFormat="1" ht="11.25">
      <c r="A50" s="50">
        <v>1.37</v>
      </c>
      <c r="B50" s="3"/>
      <c r="C50" s="37"/>
      <c r="D50" s="56" t="s">
        <v>144</v>
      </c>
      <c r="E50" s="37" t="s">
        <v>92</v>
      </c>
      <c r="F50" s="63">
        <f>F47</f>
        <v>10.5</v>
      </c>
      <c r="G50" s="57" t="s">
        <v>75</v>
      </c>
      <c r="H50" s="13"/>
      <c r="I50" s="13">
        <f t="shared" si="27"/>
        <v>0</v>
      </c>
      <c r="J50" s="13">
        <f t="shared" si="28"/>
        <v>0</v>
      </c>
      <c r="K50" s="13"/>
      <c r="L50" s="13">
        <f t="shared" si="29"/>
        <v>0</v>
      </c>
      <c r="M50" s="74">
        <f>6*3740</f>
        <v>22440</v>
      </c>
      <c r="N50" s="13">
        <f t="shared" si="30"/>
        <v>235620</v>
      </c>
      <c r="O50" s="13"/>
      <c r="P50" s="13">
        <f t="shared" si="31"/>
        <v>0</v>
      </c>
      <c r="Q50" s="38"/>
      <c r="R50" s="13">
        <f t="shared" si="32"/>
        <v>0</v>
      </c>
      <c r="S50" s="13">
        <f t="shared" si="33"/>
        <v>235620</v>
      </c>
      <c r="T50" s="38">
        <v>0.25</v>
      </c>
      <c r="U50" s="13">
        <f t="shared" si="34"/>
        <v>58905</v>
      </c>
      <c r="V50" s="13">
        <f t="shared" si="35"/>
        <v>294525</v>
      </c>
      <c r="W50" s="3"/>
      <c r="X50" s="58"/>
      <c r="Y50" s="3"/>
    </row>
    <row r="51" spans="1:25" s="4" customFormat="1" ht="11.25">
      <c r="A51" s="50">
        <v>1.38</v>
      </c>
      <c r="B51" s="3"/>
      <c r="C51" s="37"/>
      <c r="D51" s="56" t="s">
        <v>76</v>
      </c>
      <c r="E51" s="37" t="s">
        <v>92</v>
      </c>
      <c r="F51" s="63">
        <f>F47</f>
        <v>10.5</v>
      </c>
      <c r="G51" s="57" t="s">
        <v>75</v>
      </c>
      <c r="H51" s="13"/>
      <c r="I51" s="13">
        <f t="shared" si="27"/>
        <v>0</v>
      </c>
      <c r="J51" s="13">
        <f t="shared" si="28"/>
        <v>0</v>
      </c>
      <c r="K51" s="13"/>
      <c r="L51" s="13">
        <f t="shared" si="29"/>
        <v>0</v>
      </c>
      <c r="M51" s="74">
        <f>6*1320</f>
        <v>7920</v>
      </c>
      <c r="N51" s="13">
        <f t="shared" si="30"/>
        <v>83160</v>
      </c>
      <c r="O51" s="13"/>
      <c r="P51" s="13">
        <f t="shared" si="31"/>
        <v>0</v>
      </c>
      <c r="Q51" s="38"/>
      <c r="R51" s="13">
        <f t="shared" si="32"/>
        <v>0</v>
      </c>
      <c r="S51" s="13">
        <f t="shared" si="33"/>
        <v>83160</v>
      </c>
      <c r="T51" s="38">
        <v>0.25</v>
      </c>
      <c r="U51" s="13">
        <f t="shared" si="34"/>
        <v>20790</v>
      </c>
      <c r="V51" s="13">
        <f t="shared" si="35"/>
        <v>103950</v>
      </c>
      <c r="W51" s="3"/>
      <c r="X51" s="58"/>
      <c r="Y51" s="3"/>
    </row>
    <row r="52" spans="1:25" s="4" customFormat="1" ht="11.25">
      <c r="A52" s="50">
        <v>1.39</v>
      </c>
      <c r="B52" s="3"/>
      <c r="C52" s="37"/>
      <c r="D52" s="56"/>
      <c r="E52" s="37"/>
      <c r="F52" s="63"/>
      <c r="G52" s="57"/>
      <c r="H52" s="13"/>
      <c r="I52" s="13">
        <f t="shared" si="27"/>
        <v>0</v>
      </c>
      <c r="J52" s="13">
        <f t="shared" si="28"/>
        <v>0</v>
      </c>
      <c r="K52" s="13"/>
      <c r="L52" s="13">
        <f t="shared" si="29"/>
        <v>0</v>
      </c>
      <c r="M52" s="74"/>
      <c r="N52" s="13">
        <f t="shared" si="30"/>
        <v>0</v>
      </c>
      <c r="O52" s="13"/>
      <c r="P52" s="13">
        <f t="shared" si="31"/>
        <v>0</v>
      </c>
      <c r="Q52" s="38"/>
      <c r="R52" s="13">
        <f t="shared" si="32"/>
        <v>0</v>
      </c>
      <c r="S52" s="13">
        <f t="shared" si="33"/>
        <v>0</v>
      </c>
      <c r="T52" s="38"/>
      <c r="U52" s="13">
        <f t="shared" si="34"/>
        <v>0</v>
      </c>
      <c r="V52" s="13">
        <f t="shared" si="35"/>
        <v>0</v>
      </c>
      <c r="W52" s="3"/>
      <c r="X52" s="58"/>
      <c r="Y52" s="3"/>
    </row>
    <row r="53" spans="1:25" s="4" customFormat="1" ht="11.25">
      <c r="A53" s="50">
        <v>1.4</v>
      </c>
      <c r="B53" s="3"/>
      <c r="C53" s="37"/>
      <c r="D53" s="59" t="s">
        <v>72</v>
      </c>
      <c r="E53" s="37" t="s">
        <v>111</v>
      </c>
      <c r="F53" s="63"/>
      <c r="G53" s="57"/>
      <c r="H53" s="13"/>
      <c r="I53" s="13">
        <f t="shared" si="27"/>
        <v>0</v>
      </c>
      <c r="J53" s="13">
        <f t="shared" si="28"/>
        <v>0</v>
      </c>
      <c r="K53" s="13"/>
      <c r="L53" s="13">
        <f t="shared" si="29"/>
        <v>0</v>
      </c>
      <c r="M53" s="74"/>
      <c r="N53" s="13">
        <f t="shared" si="30"/>
        <v>0</v>
      </c>
      <c r="O53" s="13"/>
      <c r="P53" s="13">
        <f t="shared" si="31"/>
        <v>0</v>
      </c>
      <c r="Q53" s="38"/>
      <c r="R53" s="13">
        <f t="shared" si="32"/>
        <v>0</v>
      </c>
      <c r="S53" s="13">
        <f t="shared" si="33"/>
        <v>0</v>
      </c>
      <c r="T53" s="38"/>
      <c r="U53" s="13">
        <f t="shared" si="34"/>
        <v>0</v>
      </c>
      <c r="V53" s="13">
        <f t="shared" si="35"/>
        <v>0</v>
      </c>
      <c r="W53" s="3"/>
      <c r="X53" s="58"/>
      <c r="Y53" s="3"/>
    </row>
    <row r="54" spans="1:25" s="4" customFormat="1" ht="11.25">
      <c r="A54" s="50">
        <v>1.41</v>
      </c>
      <c r="B54" s="3"/>
      <c r="C54" s="37"/>
      <c r="D54" s="56" t="s">
        <v>145</v>
      </c>
      <c r="E54" s="37" t="s">
        <v>96</v>
      </c>
      <c r="F54" s="63">
        <f>10.5*30.4</f>
        <v>319.2</v>
      </c>
      <c r="G54" s="57" t="s">
        <v>77</v>
      </c>
      <c r="H54" s="13"/>
      <c r="I54" s="13">
        <f t="shared" si="27"/>
        <v>0</v>
      </c>
      <c r="J54" s="13">
        <f t="shared" si="28"/>
        <v>0</v>
      </c>
      <c r="K54" s="13"/>
      <c r="L54" s="13">
        <f t="shared" si="29"/>
        <v>0</v>
      </c>
      <c r="M54" s="74">
        <f>24*110</f>
        <v>2640</v>
      </c>
      <c r="N54" s="13">
        <f t="shared" si="30"/>
        <v>842688</v>
      </c>
      <c r="O54" s="13"/>
      <c r="P54" s="13">
        <f t="shared" si="31"/>
        <v>0</v>
      </c>
      <c r="Q54" s="38"/>
      <c r="R54" s="13">
        <f t="shared" si="32"/>
        <v>0</v>
      </c>
      <c r="S54" s="13">
        <f t="shared" si="33"/>
        <v>842688</v>
      </c>
      <c r="T54" s="38">
        <v>0.25</v>
      </c>
      <c r="U54" s="13">
        <f t="shared" si="34"/>
        <v>210672</v>
      </c>
      <c r="V54" s="13">
        <f t="shared" si="35"/>
        <v>1053360</v>
      </c>
      <c r="W54" s="3"/>
      <c r="X54" s="58"/>
      <c r="Y54" s="3"/>
    </row>
    <row r="55" spans="1:25" s="4" customFormat="1" ht="11.25">
      <c r="A55" s="50">
        <v>1.42</v>
      </c>
      <c r="B55" s="3"/>
      <c r="C55" s="37"/>
      <c r="D55" s="56" t="s">
        <v>74</v>
      </c>
      <c r="E55" s="37" t="s">
        <v>96</v>
      </c>
      <c r="F55" s="63">
        <f>F54</f>
        <v>319.2</v>
      </c>
      <c r="G55" s="57" t="s">
        <v>77</v>
      </c>
      <c r="H55" s="13"/>
      <c r="I55" s="13">
        <f t="shared" si="27"/>
        <v>0</v>
      </c>
      <c r="J55" s="13">
        <f t="shared" si="28"/>
        <v>0</v>
      </c>
      <c r="K55" s="13"/>
      <c r="L55" s="13">
        <f t="shared" si="29"/>
        <v>0</v>
      </c>
      <c r="M55" s="74">
        <f>24*110</f>
        <v>2640</v>
      </c>
      <c r="N55" s="13">
        <f t="shared" si="30"/>
        <v>842688</v>
      </c>
      <c r="O55" s="13"/>
      <c r="P55" s="13">
        <f t="shared" si="31"/>
        <v>0</v>
      </c>
      <c r="Q55" s="38"/>
      <c r="R55" s="13">
        <f t="shared" si="32"/>
        <v>0</v>
      </c>
      <c r="S55" s="13">
        <f t="shared" si="33"/>
        <v>842688</v>
      </c>
      <c r="T55" s="38">
        <v>0.25</v>
      </c>
      <c r="U55" s="13">
        <f t="shared" si="34"/>
        <v>210672</v>
      </c>
      <c r="V55" s="13">
        <f t="shared" si="35"/>
        <v>1053360</v>
      </c>
      <c r="W55" s="3"/>
      <c r="X55" s="58"/>
      <c r="Y55" s="3"/>
    </row>
    <row r="56" spans="1:25" s="4" customFormat="1" ht="11.25">
      <c r="A56" s="50">
        <v>1.43</v>
      </c>
      <c r="B56" s="3"/>
      <c r="C56" s="37"/>
      <c r="D56" s="56" t="s">
        <v>73</v>
      </c>
      <c r="E56" s="37" t="s">
        <v>95</v>
      </c>
      <c r="F56" s="80">
        <f>F54*2</f>
        <v>638.4</v>
      </c>
      <c r="G56" s="57" t="s">
        <v>77</v>
      </c>
      <c r="H56" s="13"/>
      <c r="I56" s="13">
        <f t="shared" si="27"/>
        <v>0</v>
      </c>
      <c r="J56" s="13">
        <f t="shared" si="28"/>
        <v>0</v>
      </c>
      <c r="K56" s="13"/>
      <c r="L56" s="13">
        <f t="shared" si="29"/>
        <v>0</v>
      </c>
      <c r="M56" s="74">
        <f>24*75</f>
        <v>1800</v>
      </c>
      <c r="N56" s="13">
        <f t="shared" si="30"/>
        <v>1149120</v>
      </c>
      <c r="O56" s="13"/>
      <c r="P56" s="13">
        <f t="shared" si="31"/>
        <v>0</v>
      </c>
      <c r="Q56" s="38"/>
      <c r="R56" s="13">
        <f t="shared" si="32"/>
        <v>0</v>
      </c>
      <c r="S56" s="13">
        <f t="shared" si="33"/>
        <v>1149120</v>
      </c>
      <c r="T56" s="38">
        <v>0.25</v>
      </c>
      <c r="U56" s="13">
        <f t="shared" si="34"/>
        <v>287280</v>
      </c>
      <c r="V56" s="13">
        <f t="shared" si="35"/>
        <v>1436400</v>
      </c>
      <c r="W56" s="3"/>
      <c r="X56" s="58"/>
      <c r="Y56" s="3"/>
    </row>
    <row r="57" spans="1:25" s="4" customFormat="1" ht="11.25">
      <c r="A57" s="50">
        <v>1.44</v>
      </c>
      <c r="B57" s="3"/>
      <c r="C57" s="37"/>
      <c r="D57" s="56"/>
      <c r="E57" s="37"/>
      <c r="F57" s="63"/>
      <c r="G57" s="57"/>
      <c r="H57" s="13"/>
      <c r="I57" s="13">
        <f t="shared" si="27"/>
        <v>0</v>
      </c>
      <c r="J57" s="13">
        <f t="shared" si="28"/>
        <v>0</v>
      </c>
      <c r="K57" s="13"/>
      <c r="L57" s="13">
        <f t="shared" si="29"/>
        <v>0</v>
      </c>
      <c r="M57" s="74"/>
      <c r="N57" s="13">
        <f t="shared" si="30"/>
        <v>0</v>
      </c>
      <c r="O57" s="13"/>
      <c r="P57" s="13">
        <f t="shared" si="31"/>
        <v>0</v>
      </c>
      <c r="Q57" s="38"/>
      <c r="R57" s="13">
        <f t="shared" si="32"/>
        <v>0</v>
      </c>
      <c r="S57" s="13">
        <f t="shared" si="33"/>
        <v>0</v>
      </c>
      <c r="T57" s="38"/>
      <c r="U57" s="13">
        <f t="shared" si="34"/>
        <v>0</v>
      </c>
      <c r="V57" s="13">
        <f t="shared" si="35"/>
        <v>0</v>
      </c>
      <c r="W57" s="3"/>
      <c r="X57" s="58"/>
      <c r="Y57" s="3"/>
    </row>
    <row r="58" spans="1:25" s="4" customFormat="1" ht="11.25">
      <c r="A58" s="50">
        <v>1.45</v>
      </c>
      <c r="B58" s="3"/>
      <c r="C58" s="37"/>
      <c r="D58" s="59" t="s">
        <v>123</v>
      </c>
      <c r="E58" s="37"/>
      <c r="F58" s="63"/>
      <c r="G58" s="57"/>
      <c r="H58" s="13"/>
      <c r="I58" s="13">
        <f>F58*H58</f>
        <v>0</v>
      </c>
      <c r="J58" s="13">
        <f>I58*$L$8</f>
        <v>0</v>
      </c>
      <c r="K58" s="13"/>
      <c r="L58" s="13">
        <f>F58*K58</f>
        <v>0</v>
      </c>
      <c r="M58" s="74"/>
      <c r="N58" s="13">
        <f>F58*M58</f>
        <v>0</v>
      </c>
      <c r="O58" s="13"/>
      <c r="P58" s="13">
        <f>F58*O58</f>
        <v>0</v>
      </c>
      <c r="Q58" s="38"/>
      <c r="R58" s="13">
        <f>(J58+L58+N58+P58)*Q58</f>
        <v>0</v>
      </c>
      <c r="S58" s="13">
        <f>J58+L58+N58+P58+R58</f>
        <v>0</v>
      </c>
      <c r="T58" s="38"/>
      <c r="U58" s="13">
        <f>S58*T58</f>
        <v>0</v>
      </c>
      <c r="V58" s="13">
        <f>S58+U58</f>
        <v>0</v>
      </c>
      <c r="W58" s="3"/>
      <c r="X58" s="58"/>
      <c r="Y58" s="3"/>
    </row>
    <row r="59" spans="1:25" s="4" customFormat="1" ht="56.25">
      <c r="A59" s="50">
        <v>1.46</v>
      </c>
      <c r="B59" s="3"/>
      <c r="C59" s="37"/>
      <c r="D59" s="56" t="s">
        <v>124</v>
      </c>
      <c r="E59" s="37" t="s">
        <v>125</v>
      </c>
      <c r="F59" s="63">
        <v>1</v>
      </c>
      <c r="G59" s="57" t="s">
        <v>66</v>
      </c>
      <c r="H59" s="13"/>
      <c r="I59" s="13">
        <f>F59*H59</f>
        <v>0</v>
      </c>
      <c r="J59" s="13">
        <f>I59*$L$8</f>
        <v>0</v>
      </c>
      <c r="K59" s="13"/>
      <c r="L59" s="13">
        <f>F59*K59</f>
        <v>0</v>
      </c>
      <c r="M59" s="75">
        <f>385000+(271*900)+(4*19712)+(80*30.4*4)+(4*30.4*4*100)</f>
        <v>766116</v>
      </c>
      <c r="N59" s="13">
        <f>F59*M59</f>
        <v>766116</v>
      </c>
      <c r="O59" s="13"/>
      <c r="P59" s="13">
        <f>F59*O59</f>
        <v>0</v>
      </c>
      <c r="Q59" s="38"/>
      <c r="R59" s="13">
        <f>(J59+L59+N59+P59)*Q59</f>
        <v>0</v>
      </c>
      <c r="S59" s="13">
        <f>J59+L59+N59+P59+R59</f>
        <v>766116</v>
      </c>
      <c r="T59" s="38">
        <v>0.25</v>
      </c>
      <c r="U59" s="13">
        <f>S59*T59</f>
        <v>191529</v>
      </c>
      <c r="V59" s="13">
        <f>S59+U59</f>
        <v>957645</v>
      </c>
      <c r="W59" s="3"/>
      <c r="X59" s="58"/>
      <c r="Y59" s="3"/>
    </row>
    <row r="60" spans="1:25" s="4" customFormat="1" ht="11.25">
      <c r="A60" s="50">
        <v>1.47</v>
      </c>
      <c r="B60" s="3"/>
      <c r="C60" s="37"/>
      <c r="D60" s="56" t="s">
        <v>126</v>
      </c>
      <c r="E60" s="37"/>
      <c r="F60" s="63">
        <v>1</v>
      </c>
      <c r="G60" s="57" t="s">
        <v>67</v>
      </c>
      <c r="H60" s="13"/>
      <c r="I60" s="13">
        <f>F60*H60</f>
        <v>0</v>
      </c>
      <c r="J60" s="13">
        <f>I60*$L$8</f>
        <v>0</v>
      </c>
      <c r="K60" s="13"/>
      <c r="L60" s="13">
        <f>F60*K60</f>
        <v>0</v>
      </c>
      <c r="M60" s="75">
        <v>32</v>
      </c>
      <c r="N60" s="13">
        <f>F60*M60</f>
        <v>32</v>
      </c>
      <c r="O60" s="13"/>
      <c r="P60" s="13">
        <f>F60*O60</f>
        <v>0</v>
      </c>
      <c r="Q60" s="38"/>
      <c r="R60" s="13">
        <f>(J60+L60+N60+P60)*Q60</f>
        <v>0</v>
      </c>
      <c r="S60" s="13">
        <f>J60+L60+N60+P60+R60</f>
        <v>32</v>
      </c>
      <c r="T60" s="38">
        <v>0.25</v>
      </c>
      <c r="U60" s="13">
        <f>S60*T60</f>
        <v>8</v>
      </c>
      <c r="V60" s="13">
        <f>S60+U60</f>
        <v>40</v>
      </c>
      <c r="W60" s="3"/>
      <c r="X60" s="58"/>
      <c r="Y60" s="3"/>
    </row>
    <row r="61" spans="1:25" s="4" customFormat="1" ht="11.25">
      <c r="A61" s="50">
        <v>1.48</v>
      </c>
      <c r="B61" s="3"/>
      <c r="C61" s="37"/>
      <c r="D61" s="56" t="s">
        <v>127</v>
      </c>
      <c r="E61" s="37"/>
      <c r="F61" s="63">
        <v>80</v>
      </c>
      <c r="G61" s="57" t="s">
        <v>66</v>
      </c>
      <c r="H61" s="13"/>
      <c r="I61" s="13">
        <f>F61*H61</f>
        <v>0</v>
      </c>
      <c r="J61" s="13">
        <f>I61*$L$8</f>
        <v>0</v>
      </c>
      <c r="K61" s="13"/>
      <c r="L61" s="13">
        <f>F61*K61</f>
        <v>0</v>
      </c>
      <c r="M61" s="74">
        <v>300</v>
      </c>
      <c r="N61" s="13">
        <f>F61*M61</f>
        <v>24000</v>
      </c>
      <c r="O61" s="13"/>
      <c r="P61" s="13">
        <f>F61*O61</f>
        <v>0</v>
      </c>
      <c r="Q61" s="38"/>
      <c r="R61" s="13">
        <f>(J61+L61+N61+P61)*Q61</f>
        <v>0</v>
      </c>
      <c r="S61" s="13">
        <f>J61+L61+N61+P61+R61</f>
        <v>24000</v>
      </c>
      <c r="T61" s="38">
        <v>0.25</v>
      </c>
      <c r="U61" s="13">
        <f>S61*T61</f>
        <v>6000</v>
      </c>
      <c r="V61" s="13">
        <f>S61+U61</f>
        <v>30000</v>
      </c>
      <c r="W61" s="3"/>
      <c r="X61" s="58"/>
      <c r="Y61" s="3"/>
    </row>
    <row r="62" spans="1:25" s="4" customFormat="1" ht="11.25">
      <c r="A62" s="50">
        <v>1.49</v>
      </c>
      <c r="B62" s="3"/>
      <c r="C62" s="37"/>
      <c r="D62" s="56"/>
      <c r="E62" s="37"/>
      <c r="F62" s="63"/>
      <c r="G62" s="57"/>
      <c r="H62" s="13"/>
      <c r="I62" s="13">
        <f>F62*H62</f>
        <v>0</v>
      </c>
      <c r="J62" s="13">
        <f>I62*$L$8</f>
        <v>0</v>
      </c>
      <c r="K62" s="13"/>
      <c r="L62" s="13">
        <f>F62*K62</f>
        <v>0</v>
      </c>
      <c r="M62" s="74"/>
      <c r="N62" s="13">
        <f>F62*M62</f>
        <v>0</v>
      </c>
      <c r="O62" s="13"/>
      <c r="P62" s="13">
        <f>F62*O62</f>
        <v>0</v>
      </c>
      <c r="Q62" s="38"/>
      <c r="R62" s="13">
        <f>(J62+L62+N62+P62)*Q62</f>
        <v>0</v>
      </c>
      <c r="S62" s="13">
        <f>J62+L62+N62+P62+R62</f>
        <v>0</v>
      </c>
      <c r="T62" s="38"/>
      <c r="U62" s="13">
        <f>S62*T62</f>
        <v>0</v>
      </c>
      <c r="V62" s="13">
        <f>S62+U62</f>
        <v>0</v>
      </c>
      <c r="W62" s="3"/>
      <c r="X62" s="58"/>
      <c r="Y62" s="3"/>
    </row>
    <row r="63" spans="1:25" s="4" customFormat="1" ht="33.75">
      <c r="A63" s="50">
        <v>1.5</v>
      </c>
      <c r="B63" s="3"/>
      <c r="C63" s="37"/>
      <c r="D63" s="59" t="s">
        <v>79</v>
      </c>
      <c r="E63" s="37" t="s">
        <v>78</v>
      </c>
      <c r="F63" s="63"/>
      <c r="G63" s="57"/>
      <c r="H63" s="13"/>
      <c r="I63" s="13">
        <f t="shared" si="27"/>
        <v>0</v>
      </c>
      <c r="J63" s="13">
        <f t="shared" si="28"/>
        <v>0</v>
      </c>
      <c r="K63" s="13"/>
      <c r="L63" s="13">
        <f t="shared" si="29"/>
        <v>0</v>
      </c>
      <c r="M63" s="74"/>
      <c r="N63" s="13">
        <f t="shared" si="30"/>
        <v>0</v>
      </c>
      <c r="O63" s="13"/>
      <c r="P63" s="13">
        <f t="shared" si="31"/>
        <v>0</v>
      </c>
      <c r="Q63" s="38"/>
      <c r="R63" s="13">
        <f t="shared" si="32"/>
        <v>0</v>
      </c>
      <c r="S63" s="13">
        <f t="shared" si="33"/>
        <v>0</v>
      </c>
      <c r="T63" s="38"/>
      <c r="U63" s="13">
        <f t="shared" si="34"/>
        <v>0</v>
      </c>
      <c r="V63" s="13">
        <f t="shared" si="35"/>
        <v>0</v>
      </c>
      <c r="W63" s="3"/>
      <c r="X63" s="58"/>
      <c r="Y63" s="3"/>
    </row>
    <row r="64" spans="1:25" s="4" customFormat="1" ht="11.25">
      <c r="A64" s="50">
        <v>1.51</v>
      </c>
      <c r="B64" s="3"/>
      <c r="C64" s="37"/>
      <c r="D64" s="56" t="s">
        <v>138</v>
      </c>
      <c r="E64" s="37" t="s">
        <v>80</v>
      </c>
      <c r="F64" s="80">
        <f>F65/27000</f>
        <v>82.88277777777778</v>
      </c>
      <c r="G64" s="57" t="s">
        <v>134</v>
      </c>
      <c r="H64" s="13"/>
      <c r="I64" s="13">
        <f t="shared" si="27"/>
        <v>0</v>
      </c>
      <c r="J64" s="13">
        <f t="shared" si="28"/>
        <v>0</v>
      </c>
      <c r="K64" s="13"/>
      <c r="L64" s="13">
        <f t="shared" si="29"/>
        <v>0</v>
      </c>
      <c r="M64" s="74">
        <f>(71.4+100)*4</f>
        <v>685.6</v>
      </c>
      <c r="N64" s="13">
        <f t="shared" si="30"/>
        <v>56824.43244444444</v>
      </c>
      <c r="O64" s="13"/>
      <c r="P64" s="13">
        <f t="shared" si="31"/>
        <v>0</v>
      </c>
      <c r="Q64" s="38"/>
      <c r="R64" s="13">
        <f t="shared" si="32"/>
        <v>0</v>
      </c>
      <c r="S64" s="13">
        <f t="shared" si="33"/>
        <v>56824.43244444444</v>
      </c>
      <c r="T64" s="38">
        <v>0.25</v>
      </c>
      <c r="U64" s="13">
        <f t="shared" si="34"/>
        <v>14206.10811111111</v>
      </c>
      <c r="V64" s="13">
        <f t="shared" si="35"/>
        <v>71030.54055555555</v>
      </c>
      <c r="W64" s="58"/>
      <c r="X64" s="58"/>
      <c r="Y64" s="3"/>
    </row>
    <row r="65" spans="1:25" s="4" customFormat="1" ht="11.25">
      <c r="A65" s="50">
        <v>1.52</v>
      </c>
      <c r="B65" s="3"/>
      <c r="C65" s="37"/>
      <c r="D65" s="65"/>
      <c r="E65" s="4" t="s">
        <v>107</v>
      </c>
      <c r="F65" s="83">
        <f>900000+752938+1183+9024+1115+20000+4380+70700+23460+70700+30800+7943+127200+11200+207192</f>
        <v>2237835</v>
      </c>
      <c r="G65" s="67" t="s">
        <v>94</v>
      </c>
      <c r="H65" s="13"/>
      <c r="I65" s="13">
        <f t="shared" si="27"/>
        <v>0</v>
      </c>
      <c r="J65" s="13">
        <f t="shared" si="28"/>
        <v>0</v>
      </c>
      <c r="K65" s="13"/>
      <c r="L65" s="13">
        <f t="shared" si="29"/>
        <v>0</v>
      </c>
      <c r="M65" s="74"/>
      <c r="N65" s="13">
        <f t="shared" si="30"/>
        <v>0</v>
      </c>
      <c r="O65" s="13"/>
      <c r="P65" s="13">
        <f t="shared" si="31"/>
        <v>0</v>
      </c>
      <c r="Q65" s="38"/>
      <c r="R65" s="13">
        <f t="shared" si="32"/>
        <v>0</v>
      </c>
      <c r="S65" s="13">
        <f t="shared" si="33"/>
        <v>0</v>
      </c>
      <c r="T65" s="38"/>
      <c r="U65" s="13">
        <f t="shared" si="34"/>
        <v>0</v>
      </c>
      <c r="V65" s="13">
        <f t="shared" si="35"/>
        <v>0</v>
      </c>
      <c r="W65" s="3"/>
      <c r="X65" s="58"/>
      <c r="Y65" s="3"/>
    </row>
    <row r="66" spans="1:25" s="4" customFormat="1" ht="11.25">
      <c r="A66" s="50">
        <v>1.53</v>
      </c>
      <c r="B66" s="3"/>
      <c r="C66" s="37"/>
      <c r="D66" s="65"/>
      <c r="E66" s="37"/>
      <c r="F66" s="66"/>
      <c r="G66" s="67"/>
      <c r="H66" s="13"/>
      <c r="I66" s="13">
        <f t="shared" si="27"/>
        <v>0</v>
      </c>
      <c r="J66" s="13">
        <f t="shared" si="28"/>
        <v>0</v>
      </c>
      <c r="K66" s="13"/>
      <c r="L66" s="13">
        <f t="shared" si="29"/>
        <v>0</v>
      </c>
      <c r="M66" s="74"/>
      <c r="N66" s="13">
        <f t="shared" si="30"/>
        <v>0</v>
      </c>
      <c r="O66" s="13"/>
      <c r="P66" s="13">
        <f t="shared" si="31"/>
        <v>0</v>
      </c>
      <c r="Q66" s="38"/>
      <c r="R66" s="13">
        <f t="shared" si="32"/>
        <v>0</v>
      </c>
      <c r="S66" s="13">
        <f t="shared" si="33"/>
        <v>0</v>
      </c>
      <c r="T66" s="38"/>
      <c r="U66" s="13">
        <f t="shared" si="34"/>
        <v>0</v>
      </c>
      <c r="V66" s="13">
        <f t="shared" si="35"/>
        <v>0</v>
      </c>
      <c r="W66" s="3"/>
      <c r="X66" s="58"/>
      <c r="Y66" s="3"/>
    </row>
    <row r="67" spans="1:25" s="4" customFormat="1" ht="11.25">
      <c r="A67" s="50">
        <v>1.54</v>
      </c>
      <c r="B67" s="3"/>
      <c r="C67" s="37"/>
      <c r="D67" s="56"/>
      <c r="E67" s="37"/>
      <c r="F67" s="63"/>
      <c r="G67" s="57"/>
      <c r="H67" s="13"/>
      <c r="I67" s="13">
        <f t="shared" si="27"/>
        <v>0</v>
      </c>
      <c r="J67" s="13">
        <f t="shared" si="28"/>
        <v>0</v>
      </c>
      <c r="K67" s="13"/>
      <c r="L67" s="13">
        <f t="shared" si="29"/>
        <v>0</v>
      </c>
      <c r="M67" s="74"/>
      <c r="N67" s="13">
        <f t="shared" si="30"/>
        <v>0</v>
      </c>
      <c r="O67" s="13"/>
      <c r="P67" s="13">
        <f t="shared" si="31"/>
        <v>0</v>
      </c>
      <c r="Q67" s="38"/>
      <c r="R67" s="13">
        <f t="shared" si="32"/>
        <v>0</v>
      </c>
      <c r="S67" s="13">
        <f t="shared" si="33"/>
        <v>0</v>
      </c>
      <c r="T67" s="38"/>
      <c r="U67" s="13">
        <f t="shared" si="34"/>
        <v>0</v>
      </c>
      <c r="V67" s="13">
        <f t="shared" si="35"/>
        <v>0</v>
      </c>
      <c r="W67" s="3"/>
      <c r="X67" s="58"/>
      <c r="Y67" s="3"/>
    </row>
    <row r="68" spans="2:25" s="14" customFormat="1" ht="24.75" customHeight="1">
      <c r="B68" s="85" t="s">
        <v>37</v>
      </c>
      <c r="C68" s="85"/>
      <c r="D68" s="85"/>
      <c r="E68" s="85"/>
      <c r="F68" s="85"/>
      <c r="G68" s="85"/>
      <c r="H68" s="85"/>
      <c r="I68" s="36">
        <f>SUM(I14:I67)</f>
        <v>0</v>
      </c>
      <c r="J68" s="36">
        <f>SUM(J14:J67)</f>
        <v>0</v>
      </c>
      <c r="K68" s="48"/>
      <c r="L68" s="36">
        <f>SUM(L14:L67)</f>
        <v>0</v>
      </c>
      <c r="M68" s="76"/>
      <c r="N68" s="36">
        <f>SUM(N14:N67)</f>
        <v>23489892.40791111</v>
      </c>
      <c r="O68" s="48"/>
      <c r="P68" s="36">
        <f>SUM(P14:P67)</f>
        <v>0</v>
      </c>
      <c r="Q68" s="41">
        <f>R68/S68</f>
        <v>0</v>
      </c>
      <c r="R68" s="36">
        <f>SUM(R14:R67)</f>
        <v>0</v>
      </c>
      <c r="S68" s="36">
        <f>SUM(S14:S67)</f>
        <v>23489892.40791111</v>
      </c>
      <c r="T68" s="41">
        <f>U68/S68</f>
        <v>0.25</v>
      </c>
      <c r="U68" s="36">
        <f>SUM(U14:U67)</f>
        <v>5872473.101977778</v>
      </c>
      <c r="V68" s="36">
        <f>SUM(V14:V67)</f>
        <v>29362365.509888887</v>
      </c>
      <c r="W68" s="4"/>
      <c r="X68" s="1"/>
      <c r="Y68" s="4"/>
    </row>
    <row r="69" spans="2:25" s="4" customFormat="1" ht="4.5" customHeight="1">
      <c r="B69" s="45"/>
      <c r="C69" s="45"/>
      <c r="D69" s="45"/>
      <c r="E69" s="45"/>
      <c r="F69" s="46"/>
      <c r="G69" s="62"/>
      <c r="H69" s="46"/>
      <c r="I69" s="46"/>
      <c r="J69" s="46"/>
      <c r="K69" s="46"/>
      <c r="L69" s="46"/>
      <c r="M69" s="73"/>
      <c r="N69" s="46"/>
      <c r="O69" s="46"/>
      <c r="P69" s="46"/>
      <c r="Q69" s="47"/>
      <c r="R69" s="46"/>
      <c r="S69" s="46"/>
      <c r="T69" s="47"/>
      <c r="U69" s="46"/>
      <c r="V69" s="46"/>
      <c r="W69" s="45"/>
      <c r="X69" s="60"/>
      <c r="Y69" s="45"/>
    </row>
    <row r="70" spans="2:25" s="4" customFormat="1" ht="11.25">
      <c r="B70" s="49" t="s">
        <v>45</v>
      </c>
      <c r="C70" s="45"/>
      <c r="D70" s="45"/>
      <c r="E70" s="45"/>
      <c r="F70" s="46"/>
      <c r="G70" s="62"/>
      <c r="H70" s="46"/>
      <c r="I70" s="46"/>
      <c r="J70" s="46"/>
      <c r="K70" s="46"/>
      <c r="L70" s="46"/>
      <c r="M70" s="73"/>
      <c r="N70" s="46"/>
      <c r="O70" s="46"/>
      <c r="P70" s="46"/>
      <c r="Q70" s="47"/>
      <c r="R70" s="46"/>
      <c r="S70" s="46"/>
      <c r="T70" s="47"/>
      <c r="U70" s="46"/>
      <c r="V70" s="46"/>
      <c r="W70" s="45"/>
      <c r="X70" s="60"/>
      <c r="Y70" s="45"/>
    </row>
    <row r="71" spans="2:25" s="4" customFormat="1" ht="4.5" customHeight="1">
      <c r="B71" s="45"/>
      <c r="C71" s="45"/>
      <c r="D71" s="45"/>
      <c r="E71" s="45"/>
      <c r="F71" s="46"/>
      <c r="G71" s="62"/>
      <c r="H71" s="46"/>
      <c r="I71" s="46"/>
      <c r="J71" s="46"/>
      <c r="K71" s="46"/>
      <c r="L71" s="46"/>
      <c r="M71" s="73"/>
      <c r="N71" s="46"/>
      <c r="O71" s="46"/>
      <c r="P71" s="46"/>
      <c r="Q71" s="47"/>
      <c r="R71" s="46"/>
      <c r="S71" s="46"/>
      <c r="T71" s="47"/>
      <c r="U71" s="46"/>
      <c r="V71" s="46"/>
      <c r="W71" s="45"/>
      <c r="X71" s="60"/>
      <c r="Y71" s="45"/>
    </row>
    <row r="72" spans="1:25" s="4" customFormat="1" ht="22.5">
      <c r="A72" s="50">
        <v>2.01</v>
      </c>
      <c r="B72" s="3"/>
      <c r="C72" s="3"/>
      <c r="D72" s="3" t="s">
        <v>61</v>
      </c>
      <c r="E72" s="3" t="s">
        <v>146</v>
      </c>
      <c r="F72" s="63">
        <f>60*30.4*10.25</f>
        <v>18696</v>
      </c>
      <c r="G72" s="57" t="s">
        <v>69</v>
      </c>
      <c r="H72" s="13"/>
      <c r="I72" s="13">
        <f>F72*H72</f>
        <v>0</v>
      </c>
      <c r="J72" s="13">
        <f aca="true" t="shared" si="36" ref="J72:J88">I72*$L$8</f>
        <v>0</v>
      </c>
      <c r="K72" s="13"/>
      <c r="L72" s="13">
        <f>F72*K72</f>
        <v>0</v>
      </c>
      <c r="M72" s="75">
        <v>418.16</v>
      </c>
      <c r="N72" s="13">
        <f>F72*M72</f>
        <v>7817919.36</v>
      </c>
      <c r="O72" s="13"/>
      <c r="P72" s="13">
        <f>F72*O72</f>
        <v>0</v>
      </c>
      <c r="Q72" s="38"/>
      <c r="R72" s="13">
        <f>(J72+L72+N72+P72)*Q72</f>
        <v>0</v>
      </c>
      <c r="S72" s="13">
        <f>J72+L72+N72+P72+R72</f>
        <v>7817919.36</v>
      </c>
      <c r="T72" s="38">
        <v>0.25</v>
      </c>
      <c r="U72" s="13">
        <f>S72*T72</f>
        <v>1954479.84</v>
      </c>
      <c r="V72" s="13">
        <f>S72+U72</f>
        <v>9772399.200000001</v>
      </c>
      <c r="W72" s="3"/>
      <c r="X72" s="58"/>
      <c r="Y72" s="3"/>
    </row>
    <row r="73" spans="1:25" s="4" customFormat="1" ht="22.5">
      <c r="A73" s="50">
        <v>2.02</v>
      </c>
      <c r="B73" s="3"/>
      <c r="C73" s="3"/>
      <c r="D73" s="37" t="s">
        <v>46</v>
      </c>
      <c r="E73" s="3"/>
      <c r="F73" s="64">
        <v>0.03</v>
      </c>
      <c r="G73" s="57"/>
      <c r="H73" s="13"/>
      <c r="I73" s="13">
        <f>F73*H73</f>
        <v>0</v>
      </c>
      <c r="J73" s="13">
        <f t="shared" si="36"/>
        <v>0</v>
      </c>
      <c r="K73" s="13"/>
      <c r="L73" s="13">
        <f>F73*K73</f>
        <v>0</v>
      </c>
      <c r="M73" s="75">
        <f>V68</f>
        <v>29362365.509888887</v>
      </c>
      <c r="N73" s="13">
        <f>F73*M73</f>
        <v>880870.9652966666</v>
      </c>
      <c r="O73" s="13"/>
      <c r="P73" s="13">
        <f>F73*O73</f>
        <v>0</v>
      </c>
      <c r="Q73" s="38"/>
      <c r="R73" s="13">
        <f>(J73+L73+N73+P73)*Q73</f>
        <v>0</v>
      </c>
      <c r="S73" s="13">
        <f>J73+L73+N73+P73+R73</f>
        <v>880870.9652966666</v>
      </c>
      <c r="T73" s="38">
        <v>0.25</v>
      </c>
      <c r="U73" s="13">
        <f>S73*T73</f>
        <v>220217.74132416665</v>
      </c>
      <c r="V73" s="13">
        <f>S73+U73</f>
        <v>1101088.7066208334</v>
      </c>
      <c r="W73" s="3"/>
      <c r="X73" s="58"/>
      <c r="Y73" s="3"/>
    </row>
    <row r="74" spans="1:25" s="4" customFormat="1" ht="11.25">
      <c r="A74" s="50">
        <v>2.03</v>
      </c>
      <c r="B74" s="3"/>
      <c r="C74" s="3"/>
      <c r="D74" s="3" t="s">
        <v>68</v>
      </c>
      <c r="E74" s="3" t="s">
        <v>150</v>
      </c>
      <c r="F74" s="63">
        <v>14</v>
      </c>
      <c r="G74" s="57" t="s">
        <v>77</v>
      </c>
      <c r="H74" s="13"/>
      <c r="I74" s="13">
        <f aca="true" t="shared" si="37" ref="I74:I88">F74*H74</f>
        <v>0</v>
      </c>
      <c r="J74" s="13">
        <f t="shared" si="36"/>
        <v>0</v>
      </c>
      <c r="K74" s="13"/>
      <c r="L74" s="13">
        <f aca="true" t="shared" si="38" ref="L74:L88">F74*K74</f>
        <v>0</v>
      </c>
      <c r="M74" s="81">
        <f>446.2*12</f>
        <v>5354.4</v>
      </c>
      <c r="N74" s="13">
        <f>F74*M74</f>
        <v>74961.59999999999</v>
      </c>
      <c r="O74" s="13"/>
      <c r="P74" s="13">
        <f>F74*O74</f>
        <v>0</v>
      </c>
      <c r="Q74" s="38"/>
      <c r="R74" s="13">
        <f>(J74+L74+N74+P74)*Q74</f>
        <v>0</v>
      </c>
      <c r="S74" s="13">
        <f>J74+L74+N74+P74+R74</f>
        <v>74961.59999999999</v>
      </c>
      <c r="T74" s="38">
        <v>0.25</v>
      </c>
      <c r="U74" s="13">
        <f>S74*T74</f>
        <v>18740.399999999998</v>
      </c>
      <c r="V74" s="13">
        <f>S74+U74</f>
        <v>93701.99999999999</v>
      </c>
      <c r="W74" s="3"/>
      <c r="X74" s="58"/>
      <c r="Y74" s="3"/>
    </row>
    <row r="75" spans="1:25" s="4" customFormat="1" ht="11.25">
      <c r="A75" s="50">
        <v>2.04</v>
      </c>
      <c r="B75" s="3"/>
      <c r="C75" s="3"/>
      <c r="D75" s="3" t="s">
        <v>147</v>
      </c>
      <c r="E75" s="3" t="s">
        <v>148</v>
      </c>
      <c r="F75" s="63">
        <f>10.25*30.4</f>
        <v>311.59999999999997</v>
      </c>
      <c r="G75" s="57" t="s">
        <v>77</v>
      </c>
      <c r="H75" s="13"/>
      <c r="I75" s="13">
        <f>F75*H75</f>
        <v>0</v>
      </c>
      <c r="J75" s="13">
        <f>I75*$L$8</f>
        <v>0</v>
      </c>
      <c r="K75" s="13"/>
      <c r="L75" s="13">
        <f>F75*K75</f>
        <v>0</v>
      </c>
      <c r="M75" s="81">
        <f>223.1*12</f>
        <v>2677.2</v>
      </c>
      <c r="N75" s="13">
        <f>F75*M75</f>
        <v>834215.5199999999</v>
      </c>
      <c r="O75" s="13"/>
      <c r="P75" s="13">
        <f>F75*O75</f>
        <v>0</v>
      </c>
      <c r="Q75" s="38"/>
      <c r="R75" s="13">
        <f>(J75+L75+N75+P75)*Q75</f>
        <v>0</v>
      </c>
      <c r="S75" s="13">
        <f>J75+L75+N75+P75+R75</f>
        <v>834215.5199999999</v>
      </c>
      <c r="T75" s="38">
        <v>0.25</v>
      </c>
      <c r="U75" s="13">
        <f>S75*T75</f>
        <v>208553.87999999998</v>
      </c>
      <c r="V75" s="13">
        <f>S75+U75</f>
        <v>1042769.3999999999</v>
      </c>
      <c r="W75" s="3"/>
      <c r="X75" s="58"/>
      <c r="Y75" s="3"/>
    </row>
    <row r="76" spans="1:25" s="4" customFormat="1" ht="22.5">
      <c r="A76" s="50">
        <v>2.05</v>
      </c>
      <c r="B76" s="3"/>
      <c r="C76" s="3"/>
      <c r="D76" s="3" t="s">
        <v>47</v>
      </c>
      <c r="E76" s="3" t="s">
        <v>106</v>
      </c>
      <c r="F76" s="63"/>
      <c r="G76" s="2"/>
      <c r="H76" s="13"/>
      <c r="I76" s="13">
        <f t="shared" si="37"/>
        <v>0</v>
      </c>
      <c r="J76" s="13">
        <f t="shared" si="36"/>
        <v>0</v>
      </c>
      <c r="K76" s="13"/>
      <c r="L76" s="13">
        <f t="shared" si="38"/>
        <v>0</v>
      </c>
      <c r="M76" s="74"/>
      <c r="N76" s="13">
        <f aca="true" t="shared" si="39" ref="N76:N88">F76*M76</f>
        <v>0</v>
      </c>
      <c r="O76" s="13"/>
      <c r="P76" s="13">
        <f aca="true" t="shared" si="40" ref="P76:P88">F76*O76</f>
        <v>0</v>
      </c>
      <c r="Q76" s="38"/>
      <c r="R76" s="13">
        <f aca="true" t="shared" si="41" ref="R76:R88">(J76+L76+N76+P76)*Q76</f>
        <v>0</v>
      </c>
      <c r="S76" s="13">
        <f aca="true" t="shared" si="42" ref="S76:S88">J76+L76+N76+P76+R76</f>
        <v>0</v>
      </c>
      <c r="T76" s="38"/>
      <c r="U76" s="13">
        <f aca="true" t="shared" si="43" ref="U76:U88">S76*T76</f>
        <v>0</v>
      </c>
      <c r="V76" s="13">
        <f aca="true" t="shared" si="44" ref="V76:V88">S76+U76</f>
        <v>0</v>
      </c>
      <c r="W76" s="3"/>
      <c r="X76" s="58"/>
      <c r="Y76" s="3"/>
    </row>
    <row r="77" spans="1:25" s="4" customFormat="1" ht="11.25">
      <c r="A77" s="50">
        <v>2.06</v>
      </c>
      <c r="B77" s="3"/>
      <c r="C77" s="3"/>
      <c r="D77" s="3" t="s">
        <v>48</v>
      </c>
      <c r="E77" s="3" t="s">
        <v>106</v>
      </c>
      <c r="F77" s="63"/>
      <c r="G77" s="2"/>
      <c r="H77" s="13"/>
      <c r="I77" s="13">
        <f t="shared" si="37"/>
        <v>0</v>
      </c>
      <c r="J77" s="13">
        <f t="shared" si="36"/>
        <v>0</v>
      </c>
      <c r="K77" s="13"/>
      <c r="L77" s="13">
        <f t="shared" si="38"/>
        <v>0</v>
      </c>
      <c r="M77" s="74"/>
      <c r="N77" s="13">
        <f t="shared" si="39"/>
        <v>0</v>
      </c>
      <c r="O77" s="13"/>
      <c r="P77" s="13">
        <f t="shared" si="40"/>
        <v>0</v>
      </c>
      <c r="Q77" s="38"/>
      <c r="R77" s="13">
        <f t="shared" si="41"/>
        <v>0</v>
      </c>
      <c r="S77" s="13">
        <f t="shared" si="42"/>
        <v>0</v>
      </c>
      <c r="T77" s="38"/>
      <c r="U77" s="13">
        <f t="shared" si="43"/>
        <v>0</v>
      </c>
      <c r="V77" s="13">
        <f t="shared" si="44"/>
        <v>0</v>
      </c>
      <c r="W77" s="3"/>
      <c r="X77" s="58"/>
      <c r="Y77" s="3"/>
    </row>
    <row r="78" spans="1:25" s="4" customFormat="1" ht="11.25">
      <c r="A78" s="50">
        <v>2.07</v>
      </c>
      <c r="B78" s="3"/>
      <c r="C78" s="3"/>
      <c r="D78" s="3" t="s">
        <v>49</v>
      </c>
      <c r="E78" s="3" t="s">
        <v>106</v>
      </c>
      <c r="F78" s="63"/>
      <c r="G78" s="2"/>
      <c r="H78" s="13"/>
      <c r="I78" s="13">
        <f t="shared" si="37"/>
        <v>0</v>
      </c>
      <c r="J78" s="13">
        <f t="shared" si="36"/>
        <v>0</v>
      </c>
      <c r="K78" s="13"/>
      <c r="L78" s="13">
        <f t="shared" si="38"/>
        <v>0</v>
      </c>
      <c r="M78" s="74"/>
      <c r="N78" s="13">
        <f t="shared" si="39"/>
        <v>0</v>
      </c>
      <c r="O78" s="13"/>
      <c r="P78" s="13">
        <f t="shared" si="40"/>
        <v>0</v>
      </c>
      <c r="Q78" s="38"/>
      <c r="R78" s="13">
        <f t="shared" si="41"/>
        <v>0</v>
      </c>
      <c r="S78" s="13">
        <f t="shared" si="42"/>
        <v>0</v>
      </c>
      <c r="T78" s="38"/>
      <c r="U78" s="13">
        <f t="shared" si="43"/>
        <v>0</v>
      </c>
      <c r="V78" s="13">
        <f t="shared" si="44"/>
        <v>0</v>
      </c>
      <c r="W78" s="3"/>
      <c r="X78" s="58"/>
      <c r="Y78" s="3"/>
    </row>
    <row r="79" spans="1:25" s="4" customFormat="1" ht="49.5" customHeight="1">
      <c r="A79" s="50">
        <v>2.08</v>
      </c>
      <c r="B79" s="3"/>
      <c r="C79" s="3"/>
      <c r="D79" s="3" t="s">
        <v>50</v>
      </c>
      <c r="E79" s="3" t="s">
        <v>97</v>
      </c>
      <c r="F79" s="63">
        <f>(60*22)</f>
        <v>1320</v>
      </c>
      <c r="G79" s="57" t="s">
        <v>91</v>
      </c>
      <c r="H79" s="13"/>
      <c r="I79" s="13">
        <f>F79*H79</f>
        <v>0</v>
      </c>
      <c r="J79" s="13">
        <f t="shared" si="36"/>
        <v>0</v>
      </c>
      <c r="K79" s="13"/>
      <c r="L79" s="13">
        <f>F79*K79</f>
        <v>0</v>
      </c>
      <c r="M79" s="75">
        <f>984+(2*80)</f>
        <v>1144</v>
      </c>
      <c r="N79" s="13">
        <f>F79*M79</f>
        <v>1510080</v>
      </c>
      <c r="O79" s="13"/>
      <c r="P79" s="13">
        <f>F79*O79</f>
        <v>0</v>
      </c>
      <c r="Q79" s="38"/>
      <c r="R79" s="13">
        <f>(J79+L79+N79+P79)*Q79</f>
        <v>0</v>
      </c>
      <c r="S79" s="13">
        <f>J79+L79+N79+P79+R79</f>
        <v>1510080</v>
      </c>
      <c r="T79" s="38">
        <v>0.25</v>
      </c>
      <c r="U79" s="13">
        <f>S79*T79</f>
        <v>377520</v>
      </c>
      <c r="V79" s="13">
        <f>S79+U79</f>
        <v>1887600</v>
      </c>
      <c r="W79" s="3"/>
      <c r="X79" s="58"/>
      <c r="Y79" s="3"/>
    </row>
    <row r="80" spans="1:25" s="4" customFormat="1" ht="11.25">
      <c r="A80" s="50">
        <v>2.09</v>
      </c>
      <c r="B80" s="3"/>
      <c r="C80" s="3"/>
      <c r="D80" s="3" t="s">
        <v>51</v>
      </c>
      <c r="E80" s="3" t="s">
        <v>106</v>
      </c>
      <c r="F80" s="63"/>
      <c r="G80" s="2"/>
      <c r="H80" s="13"/>
      <c r="I80" s="13">
        <f>F80*H80</f>
        <v>0</v>
      </c>
      <c r="J80" s="13">
        <f t="shared" si="36"/>
        <v>0</v>
      </c>
      <c r="K80" s="13"/>
      <c r="L80" s="13">
        <f>F80*K80</f>
        <v>0</v>
      </c>
      <c r="M80" s="74"/>
      <c r="N80" s="13">
        <f>F80*M80</f>
        <v>0</v>
      </c>
      <c r="O80" s="13"/>
      <c r="P80" s="13">
        <f>F80*O80</f>
        <v>0</v>
      </c>
      <c r="Q80" s="38"/>
      <c r="R80" s="13">
        <f>(J80+L80+N80+P80)*Q80</f>
        <v>0</v>
      </c>
      <c r="S80" s="13">
        <f>J80+L80+N80+P80+R80</f>
        <v>0</v>
      </c>
      <c r="T80" s="38"/>
      <c r="U80" s="13">
        <f>S80*T80</f>
        <v>0</v>
      </c>
      <c r="V80" s="13">
        <f>S80+U80</f>
        <v>0</v>
      </c>
      <c r="W80" s="3"/>
      <c r="X80" s="58"/>
      <c r="Y80" s="3"/>
    </row>
    <row r="81" spans="1:25" s="4" customFormat="1" ht="11.25">
      <c r="A81" s="50">
        <v>2.1</v>
      </c>
      <c r="B81" s="3"/>
      <c r="C81" s="3"/>
      <c r="D81" s="3" t="s">
        <v>52</v>
      </c>
      <c r="E81" s="3" t="s">
        <v>108</v>
      </c>
      <c r="F81" s="63">
        <v>4</v>
      </c>
      <c r="G81" s="57" t="s">
        <v>134</v>
      </c>
      <c r="H81" s="13"/>
      <c r="I81" s="13">
        <f>F81*H81</f>
        <v>0</v>
      </c>
      <c r="J81" s="13">
        <f t="shared" si="36"/>
        <v>0</v>
      </c>
      <c r="K81" s="13"/>
      <c r="L81" s="13">
        <f>F81*K81</f>
        <v>0</v>
      </c>
      <c r="M81" s="75">
        <f>9361.68*2</f>
        <v>18723.36</v>
      </c>
      <c r="N81" s="13">
        <f>F81*M81</f>
        <v>74893.44</v>
      </c>
      <c r="O81" s="13"/>
      <c r="P81" s="13">
        <f>F81*O81</f>
        <v>0</v>
      </c>
      <c r="Q81" s="38"/>
      <c r="R81" s="13">
        <f>(J81+L81+N81+P81)*Q81</f>
        <v>0</v>
      </c>
      <c r="S81" s="13">
        <f>J81+L81+N81+P81+R81</f>
        <v>74893.44</v>
      </c>
      <c r="T81" s="38">
        <v>0.25</v>
      </c>
      <c r="U81" s="13">
        <f>S81*T81</f>
        <v>18723.36</v>
      </c>
      <c r="V81" s="13">
        <f>S81+U81</f>
        <v>93616.8</v>
      </c>
      <c r="W81" s="3"/>
      <c r="X81" s="58"/>
      <c r="Y81" s="3"/>
    </row>
    <row r="82" spans="1:25" s="4" customFormat="1" ht="11.25">
      <c r="A82" s="50">
        <v>2.11</v>
      </c>
      <c r="B82" s="3"/>
      <c r="C82" s="3"/>
      <c r="D82" s="3" t="s">
        <v>53</v>
      </c>
      <c r="E82" s="3" t="s">
        <v>106</v>
      </c>
      <c r="F82" s="63"/>
      <c r="G82" s="2"/>
      <c r="H82" s="13"/>
      <c r="I82" s="13">
        <f>F82*H82</f>
        <v>0</v>
      </c>
      <c r="J82" s="13">
        <f t="shared" si="36"/>
        <v>0</v>
      </c>
      <c r="K82" s="13"/>
      <c r="L82" s="13">
        <f>F82*K82</f>
        <v>0</v>
      </c>
      <c r="M82" s="74"/>
      <c r="N82" s="13">
        <f>F82*M82</f>
        <v>0</v>
      </c>
      <c r="O82" s="13"/>
      <c r="P82" s="13">
        <f>F82*O82</f>
        <v>0</v>
      </c>
      <c r="Q82" s="38"/>
      <c r="R82" s="13">
        <f>(J82+L82+N82+P82)*Q82</f>
        <v>0</v>
      </c>
      <c r="S82" s="13">
        <f>J82+L82+N82+P82+R82</f>
        <v>0</v>
      </c>
      <c r="T82" s="38"/>
      <c r="U82" s="13">
        <f>S82*T82</f>
        <v>0</v>
      </c>
      <c r="V82" s="13">
        <f>S82+U82</f>
        <v>0</v>
      </c>
      <c r="W82" s="3"/>
      <c r="X82" s="58"/>
      <c r="Y82" s="3"/>
    </row>
    <row r="83" spans="1:25" s="4" customFormat="1" ht="11.25">
      <c r="A83" s="50">
        <v>2.12</v>
      </c>
      <c r="B83" s="3"/>
      <c r="C83" s="3"/>
      <c r="D83" s="3" t="s">
        <v>54</v>
      </c>
      <c r="E83" s="3" t="s">
        <v>106</v>
      </c>
      <c r="F83" s="63"/>
      <c r="G83" s="2"/>
      <c r="H83" s="13"/>
      <c r="I83" s="13">
        <f>F83*H83</f>
        <v>0</v>
      </c>
      <c r="J83" s="13">
        <f t="shared" si="36"/>
        <v>0</v>
      </c>
      <c r="K83" s="13"/>
      <c r="L83" s="13">
        <f>F83*K83</f>
        <v>0</v>
      </c>
      <c r="M83" s="74"/>
      <c r="N83" s="13">
        <f>F83*M83</f>
        <v>0</v>
      </c>
      <c r="O83" s="13"/>
      <c r="P83" s="13">
        <f>F83*O83</f>
        <v>0</v>
      </c>
      <c r="Q83" s="38"/>
      <c r="R83" s="13">
        <f>(J83+L83+N83+P83)*Q83</f>
        <v>0</v>
      </c>
      <c r="S83" s="13">
        <f>J83+L83+N83+P83+R83</f>
        <v>0</v>
      </c>
      <c r="T83" s="38"/>
      <c r="U83" s="13">
        <f>S83*T83</f>
        <v>0</v>
      </c>
      <c r="V83" s="13">
        <f>S83+U83</f>
        <v>0</v>
      </c>
      <c r="W83" s="3"/>
      <c r="X83" s="58"/>
      <c r="Y83" s="3"/>
    </row>
    <row r="84" spans="1:25" s="4" customFormat="1" ht="11.25">
      <c r="A84" s="50">
        <v>2.13</v>
      </c>
      <c r="B84" s="3"/>
      <c r="C84" s="3"/>
      <c r="D84" s="3" t="s">
        <v>55</v>
      </c>
      <c r="E84" s="3" t="s">
        <v>106</v>
      </c>
      <c r="F84" s="63"/>
      <c r="G84" s="2"/>
      <c r="H84" s="13"/>
      <c r="I84" s="13">
        <f t="shared" si="37"/>
        <v>0</v>
      </c>
      <c r="J84" s="13">
        <f t="shared" si="36"/>
        <v>0</v>
      </c>
      <c r="K84" s="13"/>
      <c r="L84" s="13">
        <f t="shared" si="38"/>
        <v>0</v>
      </c>
      <c r="M84" s="74"/>
      <c r="N84" s="13">
        <f t="shared" si="39"/>
        <v>0</v>
      </c>
      <c r="O84" s="13"/>
      <c r="P84" s="13">
        <f t="shared" si="40"/>
        <v>0</v>
      </c>
      <c r="Q84" s="38"/>
      <c r="R84" s="13">
        <f t="shared" si="41"/>
        <v>0</v>
      </c>
      <c r="S84" s="13">
        <f t="shared" si="42"/>
        <v>0</v>
      </c>
      <c r="T84" s="38"/>
      <c r="U84" s="13">
        <f t="shared" si="43"/>
        <v>0</v>
      </c>
      <c r="V84" s="13">
        <f t="shared" si="44"/>
        <v>0</v>
      </c>
      <c r="W84" s="3"/>
      <c r="X84" s="58"/>
      <c r="Y84" s="3"/>
    </row>
    <row r="85" spans="1:25" s="4" customFormat="1" ht="22.5">
      <c r="A85" s="50">
        <v>2.14</v>
      </c>
      <c r="B85" s="3"/>
      <c r="C85" s="3"/>
      <c r="D85" s="3" t="s">
        <v>56</v>
      </c>
      <c r="E85" s="3"/>
      <c r="F85" s="64">
        <v>0.02</v>
      </c>
      <c r="G85" s="57"/>
      <c r="H85" s="13"/>
      <c r="I85" s="13">
        <f t="shared" si="37"/>
        <v>0</v>
      </c>
      <c r="J85" s="13">
        <f t="shared" si="36"/>
        <v>0</v>
      </c>
      <c r="K85" s="13"/>
      <c r="L85" s="13">
        <f t="shared" si="38"/>
        <v>0</v>
      </c>
      <c r="M85" s="75">
        <f>V68</f>
        <v>29362365.509888887</v>
      </c>
      <c r="N85" s="13">
        <f t="shared" si="39"/>
        <v>587247.3101977778</v>
      </c>
      <c r="O85" s="13"/>
      <c r="P85" s="13">
        <f t="shared" si="40"/>
        <v>0</v>
      </c>
      <c r="Q85" s="38"/>
      <c r="R85" s="13">
        <f t="shared" si="41"/>
        <v>0</v>
      </c>
      <c r="S85" s="13">
        <f t="shared" si="42"/>
        <v>587247.3101977778</v>
      </c>
      <c r="T85" s="38">
        <v>0.25</v>
      </c>
      <c r="U85" s="13">
        <f t="shared" si="43"/>
        <v>146811.82754944445</v>
      </c>
      <c r="V85" s="13">
        <f t="shared" si="44"/>
        <v>734059.1377472223</v>
      </c>
      <c r="W85" s="3"/>
      <c r="X85" s="58"/>
      <c r="Y85" s="3"/>
    </row>
    <row r="86" spans="1:25" s="4" customFormat="1" ht="22.5">
      <c r="A86" s="50">
        <v>2.15</v>
      </c>
      <c r="B86" s="3"/>
      <c r="C86" s="3"/>
      <c r="D86" s="3" t="s">
        <v>62</v>
      </c>
      <c r="E86" s="3"/>
      <c r="F86" s="64">
        <v>0.02</v>
      </c>
      <c r="G86" s="2"/>
      <c r="H86" s="13"/>
      <c r="I86" s="13">
        <f t="shared" si="37"/>
        <v>0</v>
      </c>
      <c r="J86" s="13">
        <f t="shared" si="36"/>
        <v>0</v>
      </c>
      <c r="K86" s="13"/>
      <c r="L86" s="13">
        <f t="shared" si="38"/>
        <v>0</v>
      </c>
      <c r="M86" s="75">
        <f>V68</f>
        <v>29362365.509888887</v>
      </c>
      <c r="N86" s="13">
        <f t="shared" si="39"/>
        <v>587247.3101977778</v>
      </c>
      <c r="O86" s="13"/>
      <c r="P86" s="13">
        <f t="shared" si="40"/>
        <v>0</v>
      </c>
      <c r="Q86" s="38"/>
      <c r="R86" s="13">
        <f t="shared" si="41"/>
        <v>0</v>
      </c>
      <c r="S86" s="13">
        <f t="shared" si="42"/>
        <v>587247.3101977778</v>
      </c>
      <c r="T86" s="38">
        <v>0.25</v>
      </c>
      <c r="U86" s="13">
        <f t="shared" si="43"/>
        <v>146811.82754944445</v>
      </c>
      <c r="V86" s="13">
        <f t="shared" si="44"/>
        <v>734059.1377472223</v>
      </c>
      <c r="W86" s="3"/>
      <c r="X86" s="58"/>
      <c r="Y86" s="3"/>
    </row>
    <row r="87" spans="1:25" s="4" customFormat="1" ht="11.25">
      <c r="A87" s="50">
        <v>2.16</v>
      </c>
      <c r="B87" s="3"/>
      <c r="C87" s="3"/>
      <c r="D87" s="3" t="s">
        <v>57</v>
      </c>
      <c r="E87" s="3" t="s">
        <v>106</v>
      </c>
      <c r="F87" s="63"/>
      <c r="G87" s="2"/>
      <c r="H87" s="13"/>
      <c r="I87" s="13">
        <f t="shared" si="37"/>
        <v>0</v>
      </c>
      <c r="J87" s="13">
        <f t="shared" si="36"/>
        <v>0</v>
      </c>
      <c r="K87" s="13"/>
      <c r="L87" s="13">
        <f t="shared" si="38"/>
        <v>0</v>
      </c>
      <c r="M87" s="74"/>
      <c r="N87" s="13">
        <f t="shared" si="39"/>
        <v>0</v>
      </c>
      <c r="O87" s="13"/>
      <c r="P87" s="13">
        <f t="shared" si="40"/>
        <v>0</v>
      </c>
      <c r="Q87" s="38"/>
      <c r="R87" s="13">
        <f t="shared" si="41"/>
        <v>0</v>
      </c>
      <c r="S87" s="13">
        <f t="shared" si="42"/>
        <v>0</v>
      </c>
      <c r="T87" s="38"/>
      <c r="U87" s="13">
        <f t="shared" si="43"/>
        <v>0</v>
      </c>
      <c r="V87" s="13">
        <f t="shared" si="44"/>
        <v>0</v>
      </c>
      <c r="W87" s="3"/>
      <c r="X87" s="58"/>
      <c r="Y87" s="3"/>
    </row>
    <row r="88" spans="1:25" s="4" customFormat="1" ht="11.25">
      <c r="A88" s="50">
        <v>2.17</v>
      </c>
      <c r="B88" s="3"/>
      <c r="C88" s="3"/>
      <c r="D88" s="3" t="s">
        <v>58</v>
      </c>
      <c r="E88" s="3" t="s">
        <v>106</v>
      </c>
      <c r="F88" s="63"/>
      <c r="G88" s="2"/>
      <c r="H88" s="13"/>
      <c r="I88" s="13">
        <f t="shared" si="37"/>
        <v>0</v>
      </c>
      <c r="J88" s="13">
        <f t="shared" si="36"/>
        <v>0</v>
      </c>
      <c r="K88" s="13"/>
      <c r="L88" s="13">
        <f t="shared" si="38"/>
        <v>0</v>
      </c>
      <c r="M88" s="74"/>
      <c r="N88" s="13">
        <f t="shared" si="39"/>
        <v>0</v>
      </c>
      <c r="O88" s="13"/>
      <c r="P88" s="13">
        <f t="shared" si="40"/>
        <v>0</v>
      </c>
      <c r="Q88" s="38"/>
      <c r="R88" s="13">
        <f t="shared" si="41"/>
        <v>0</v>
      </c>
      <c r="S88" s="13">
        <f t="shared" si="42"/>
        <v>0</v>
      </c>
      <c r="T88" s="38"/>
      <c r="U88" s="13">
        <f t="shared" si="43"/>
        <v>0</v>
      </c>
      <c r="V88" s="13">
        <f t="shared" si="44"/>
        <v>0</v>
      </c>
      <c r="W88" s="3"/>
      <c r="X88" s="58"/>
      <c r="Y88" s="3"/>
    </row>
    <row r="89" spans="2:25" s="14" customFormat="1" ht="24.75" customHeight="1">
      <c r="B89" s="86" t="s">
        <v>39</v>
      </c>
      <c r="C89" s="87"/>
      <c r="D89" s="87"/>
      <c r="E89" s="87"/>
      <c r="F89" s="87"/>
      <c r="G89" s="87"/>
      <c r="H89" s="88"/>
      <c r="I89" s="36">
        <f>SUM(I72:I88)</f>
        <v>0</v>
      </c>
      <c r="J89" s="36">
        <f>SUM(J72:J88)</f>
        <v>0</v>
      </c>
      <c r="K89" s="35"/>
      <c r="L89" s="36">
        <f>SUM(L72:L88)</f>
        <v>0</v>
      </c>
      <c r="M89" s="77"/>
      <c r="N89" s="36">
        <f>SUM(N72:N88)</f>
        <v>12367435.505692221</v>
      </c>
      <c r="O89" s="35"/>
      <c r="P89" s="36">
        <f>SUM(P72:P88)</f>
        <v>0</v>
      </c>
      <c r="Q89" s="41">
        <f>R89/S89</f>
        <v>0</v>
      </c>
      <c r="R89" s="36">
        <f>SUM(R72:R88)</f>
        <v>0</v>
      </c>
      <c r="S89" s="36">
        <f>SUM(S72:S88)</f>
        <v>12367435.505692221</v>
      </c>
      <c r="T89" s="41">
        <f>U89/S89</f>
        <v>0.25</v>
      </c>
      <c r="U89" s="36">
        <f>SUM(U72:U88)</f>
        <v>3091858.8764230553</v>
      </c>
      <c r="V89" s="36">
        <f>SUM(V72:V88)</f>
        <v>15459294.38211528</v>
      </c>
      <c r="W89" s="4"/>
      <c r="X89" s="1"/>
      <c r="Y89" s="4"/>
    </row>
    <row r="90" spans="2:25" s="4" customFormat="1" ht="4.5" customHeight="1">
      <c r="B90" s="45"/>
      <c r="C90" s="45"/>
      <c r="D90" s="45"/>
      <c r="E90" s="45"/>
      <c r="F90" s="46"/>
      <c r="G90" s="62"/>
      <c r="H90" s="46"/>
      <c r="I90" s="46"/>
      <c r="J90" s="46"/>
      <c r="K90" s="46"/>
      <c r="L90" s="46"/>
      <c r="M90" s="73"/>
      <c r="N90" s="46"/>
      <c r="O90" s="46"/>
      <c r="P90" s="46"/>
      <c r="Q90" s="47"/>
      <c r="R90" s="46"/>
      <c r="S90" s="46"/>
      <c r="T90" s="47"/>
      <c r="U90" s="46"/>
      <c r="V90" s="46"/>
      <c r="W90" s="45"/>
      <c r="X90" s="60"/>
      <c r="Y90" s="45"/>
    </row>
    <row r="91" spans="2:25" s="4" customFormat="1" ht="11.25">
      <c r="B91" s="49" t="s">
        <v>40</v>
      </c>
      <c r="C91" s="45"/>
      <c r="D91" s="45"/>
      <c r="E91" s="45"/>
      <c r="F91" s="46"/>
      <c r="G91" s="62"/>
      <c r="H91" s="46"/>
      <c r="I91" s="46"/>
      <c r="J91" s="46"/>
      <c r="K91" s="46"/>
      <c r="L91" s="46"/>
      <c r="M91" s="73"/>
      <c r="N91" s="46"/>
      <c r="O91" s="46"/>
      <c r="P91" s="46"/>
      <c r="Q91" s="47"/>
      <c r="R91" s="46"/>
      <c r="S91" s="46"/>
      <c r="T91" s="47"/>
      <c r="U91" s="46"/>
      <c r="V91" s="46"/>
      <c r="W91" s="45"/>
      <c r="X91" s="60"/>
      <c r="Y91" s="45"/>
    </row>
    <row r="92" spans="2:25" s="4" customFormat="1" ht="4.5" customHeight="1">
      <c r="B92" s="45"/>
      <c r="C92" s="45"/>
      <c r="D92" s="45"/>
      <c r="E92" s="45"/>
      <c r="F92" s="46"/>
      <c r="G92" s="62"/>
      <c r="H92" s="46"/>
      <c r="I92" s="46"/>
      <c r="J92" s="46"/>
      <c r="K92" s="46"/>
      <c r="L92" s="46"/>
      <c r="M92" s="73"/>
      <c r="N92" s="46"/>
      <c r="O92" s="46"/>
      <c r="P92" s="46"/>
      <c r="Q92" s="47"/>
      <c r="R92" s="46"/>
      <c r="S92" s="46"/>
      <c r="T92" s="47"/>
      <c r="U92" s="46"/>
      <c r="V92" s="46"/>
      <c r="W92" s="45"/>
      <c r="X92" s="60"/>
      <c r="Y92" s="45"/>
    </row>
    <row r="93" spans="1:25" s="4" customFormat="1" ht="11.25">
      <c r="A93" s="50">
        <v>3.01</v>
      </c>
      <c r="B93" s="3"/>
      <c r="C93" s="3"/>
      <c r="D93" s="3" t="s">
        <v>42</v>
      </c>
      <c r="E93" s="3"/>
      <c r="F93" s="64">
        <v>0.1</v>
      </c>
      <c r="G93" s="2"/>
      <c r="H93" s="13"/>
      <c r="I93" s="13">
        <f>F93*H93</f>
        <v>0</v>
      </c>
      <c r="J93" s="13">
        <f>I93*$L$8</f>
        <v>0</v>
      </c>
      <c r="K93" s="13"/>
      <c r="L93" s="13">
        <f>F93*K93</f>
        <v>0</v>
      </c>
      <c r="M93" s="74">
        <f>S68+S89</f>
        <v>35857327.913603336</v>
      </c>
      <c r="N93" s="13">
        <f>F93*M93</f>
        <v>3585732.7913603336</v>
      </c>
      <c r="O93" s="13"/>
      <c r="P93" s="13">
        <f>F93*O93</f>
        <v>0</v>
      </c>
      <c r="Q93" s="38"/>
      <c r="R93" s="13">
        <f>(J93+L93+N93+P93)*Q93</f>
        <v>0</v>
      </c>
      <c r="S93" s="13">
        <f>J93+L93+N93+P93+R93</f>
        <v>3585732.7913603336</v>
      </c>
      <c r="T93" s="38">
        <v>0.25</v>
      </c>
      <c r="U93" s="13">
        <f>S93*T93</f>
        <v>896433.1978400834</v>
      </c>
      <c r="V93" s="13">
        <f>S93+U93</f>
        <v>4482165.989200417</v>
      </c>
      <c r="W93" s="3"/>
      <c r="X93" s="58"/>
      <c r="Y93" s="3"/>
    </row>
    <row r="94" spans="1:25" s="4" customFormat="1" ht="11.25">
      <c r="A94" s="50">
        <v>3.02</v>
      </c>
      <c r="B94" s="3"/>
      <c r="C94" s="3"/>
      <c r="D94" s="3" t="s">
        <v>32</v>
      </c>
      <c r="E94" s="3"/>
      <c r="F94" s="13"/>
      <c r="G94" s="2"/>
      <c r="H94" s="13"/>
      <c r="I94" s="13">
        <f>F94*H94</f>
        <v>0</v>
      </c>
      <c r="J94" s="13">
        <f>I94*$L$8</f>
        <v>0</v>
      </c>
      <c r="K94" s="13"/>
      <c r="L94" s="13">
        <f>F94*K94</f>
        <v>0</v>
      </c>
      <c r="M94" s="74"/>
      <c r="N94" s="13">
        <f>F94*M94</f>
        <v>0</v>
      </c>
      <c r="O94" s="13"/>
      <c r="P94" s="13">
        <f>F94*O94</f>
        <v>0</v>
      </c>
      <c r="Q94" s="38"/>
      <c r="R94" s="13">
        <f>(J94+L94+N94+P94)*Q94</f>
        <v>0</v>
      </c>
      <c r="S94" s="13">
        <f>J94+L94+N94+P94+R94</f>
        <v>0</v>
      </c>
      <c r="T94" s="38"/>
      <c r="U94" s="13">
        <f>S94*T94</f>
        <v>0</v>
      </c>
      <c r="V94" s="13">
        <f>S94+U94</f>
        <v>0</v>
      </c>
      <c r="W94" s="3"/>
      <c r="X94" s="58"/>
      <c r="Y94" s="3"/>
    </row>
    <row r="95" spans="1:25" s="4" customFormat="1" ht="11.25">
      <c r="A95" s="50">
        <v>3.03</v>
      </c>
      <c r="B95" s="3"/>
      <c r="C95" s="3"/>
      <c r="D95" s="3" t="s">
        <v>36</v>
      </c>
      <c r="E95" s="3"/>
      <c r="F95" s="13"/>
      <c r="G95" s="2"/>
      <c r="H95" s="13"/>
      <c r="I95" s="13">
        <f>F95*H95</f>
        <v>0</v>
      </c>
      <c r="J95" s="13">
        <f>I95*$L$8</f>
        <v>0</v>
      </c>
      <c r="K95" s="13"/>
      <c r="L95" s="13">
        <f>F95*K95</f>
        <v>0</v>
      </c>
      <c r="M95" s="74"/>
      <c r="N95" s="13">
        <f>F95*M95</f>
        <v>0</v>
      </c>
      <c r="O95" s="13"/>
      <c r="P95" s="13">
        <f>F95*O95</f>
        <v>0</v>
      </c>
      <c r="Q95" s="38"/>
      <c r="R95" s="13">
        <f>(J95+L95+N95+P95)*Q95</f>
        <v>0</v>
      </c>
      <c r="S95" s="13">
        <f>J95+L95+N95+P95+R95</f>
        <v>0</v>
      </c>
      <c r="T95" s="38"/>
      <c r="U95" s="13">
        <f>S95*T95</f>
        <v>0</v>
      </c>
      <c r="V95" s="13">
        <f>S95+U95</f>
        <v>0</v>
      </c>
      <c r="W95" s="3"/>
      <c r="X95" s="58"/>
      <c r="Y95" s="3"/>
    </row>
    <row r="96" spans="2:25" s="14" customFormat="1" ht="24.75" customHeight="1">
      <c r="B96" s="86" t="s">
        <v>41</v>
      </c>
      <c r="C96" s="87"/>
      <c r="D96" s="87"/>
      <c r="E96" s="87"/>
      <c r="F96" s="87"/>
      <c r="G96" s="87"/>
      <c r="H96" s="88"/>
      <c r="I96" s="36">
        <f>SUM(I93:I95)</f>
        <v>0</v>
      </c>
      <c r="J96" s="36">
        <f>SUM(J93:J95)</f>
        <v>0</v>
      </c>
      <c r="K96" s="35"/>
      <c r="L96" s="36">
        <f>SUM(L93:L95)</f>
        <v>0</v>
      </c>
      <c r="M96" s="77"/>
      <c r="N96" s="36">
        <f>SUM(N93:N95)</f>
        <v>3585732.7913603336</v>
      </c>
      <c r="O96" s="35"/>
      <c r="P96" s="36">
        <f>SUM(P93:P95)</f>
        <v>0</v>
      </c>
      <c r="Q96" s="41">
        <f>R96/S96</f>
        <v>0</v>
      </c>
      <c r="R96" s="36">
        <f>SUM(R93:R95)</f>
        <v>0</v>
      </c>
      <c r="S96" s="36">
        <f>SUM(S93:S95)</f>
        <v>3585732.7913603336</v>
      </c>
      <c r="T96" s="41">
        <f>U96/S96</f>
        <v>0.25</v>
      </c>
      <c r="U96" s="36">
        <f>SUM(U93:U95)</f>
        <v>896433.1978400834</v>
      </c>
      <c r="V96" s="36">
        <f>SUM(V93:V95)</f>
        <v>4482165.989200417</v>
      </c>
      <c r="W96" s="4"/>
      <c r="X96" s="1"/>
      <c r="Y96" s="4"/>
    </row>
    <row r="97" spans="7:24" s="4" customFormat="1" ht="11.25">
      <c r="G97" s="12"/>
      <c r="M97" s="78"/>
      <c r="X97" s="1"/>
    </row>
    <row r="98" spans="2:25" s="14" customFormat="1" ht="24.75" customHeight="1">
      <c r="B98" s="86" t="s">
        <v>44</v>
      </c>
      <c r="C98" s="87"/>
      <c r="D98" s="87"/>
      <c r="E98" s="87"/>
      <c r="F98" s="87"/>
      <c r="G98" s="87"/>
      <c r="H98" s="88"/>
      <c r="I98" s="36"/>
      <c r="J98" s="36"/>
      <c r="K98" s="35"/>
      <c r="L98" s="36"/>
      <c r="M98" s="77"/>
      <c r="N98" s="36"/>
      <c r="O98" s="35"/>
      <c r="P98" s="36"/>
      <c r="Q98" s="41"/>
      <c r="R98" s="36"/>
      <c r="S98" s="36">
        <f>S68+S89+S96</f>
        <v>39443060.70496367</v>
      </c>
      <c r="T98" s="41">
        <f>U98/S98</f>
        <v>0.25</v>
      </c>
      <c r="U98" s="36">
        <f>U68+U89+U96</f>
        <v>9860765.176240917</v>
      </c>
      <c r="V98" s="36">
        <f>V68+V89+V96</f>
        <v>49303825.88120459</v>
      </c>
      <c r="W98" s="4"/>
      <c r="X98" s="1"/>
      <c r="Y98" s="4"/>
    </row>
    <row r="99" spans="7:24" s="4" customFormat="1" ht="11.25">
      <c r="G99" s="12"/>
      <c r="M99" s="78"/>
      <c r="X99" s="1"/>
    </row>
    <row r="100" spans="7:24" s="4" customFormat="1" ht="11.25">
      <c r="G100" s="12"/>
      <c r="M100" s="78"/>
      <c r="X100" s="1"/>
    </row>
    <row r="101" spans="3:25" s="4" customFormat="1" ht="11.25">
      <c r="C101" s="1"/>
      <c r="D101" s="1"/>
      <c r="E101" s="1"/>
      <c r="F101" s="1"/>
      <c r="G101" s="44"/>
      <c r="H101" s="1"/>
      <c r="I101" s="1"/>
      <c r="J101" s="1"/>
      <c r="K101" s="1"/>
      <c r="L101" s="1"/>
      <c r="M101" s="7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3:25" s="4" customFormat="1" ht="11.25">
      <c r="C102" s="1"/>
      <c r="D102" s="1"/>
      <c r="E102" s="1"/>
      <c r="F102" s="1"/>
      <c r="G102" s="44"/>
      <c r="H102" s="1"/>
      <c r="I102" s="1"/>
      <c r="J102" s="1"/>
      <c r="K102" s="1"/>
      <c r="L102" s="1"/>
      <c r="M102" s="7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3:25" s="4" customFormat="1" ht="11.25">
      <c r="C103" s="1"/>
      <c r="D103" s="1"/>
      <c r="E103" s="1"/>
      <c r="F103" s="1"/>
      <c r="G103" s="44"/>
      <c r="H103" s="1"/>
      <c r="I103" s="1"/>
      <c r="J103" s="1"/>
      <c r="K103" s="1"/>
      <c r="L103" s="1"/>
      <c r="M103" s="7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7:24" s="4" customFormat="1" ht="11.25">
      <c r="G104" s="12"/>
      <c r="M104" s="78"/>
      <c r="X104" s="1"/>
    </row>
    <row r="105" spans="7:24" s="4" customFormat="1" ht="11.25">
      <c r="G105" s="12"/>
      <c r="M105" s="78"/>
      <c r="X105" s="1"/>
    </row>
    <row r="106" spans="7:24" s="4" customFormat="1" ht="11.25">
      <c r="G106" s="12"/>
      <c r="M106" s="78"/>
      <c r="X106" s="1"/>
    </row>
    <row r="107" spans="7:24" s="4" customFormat="1" ht="11.25">
      <c r="G107" s="12"/>
      <c r="M107" s="78"/>
      <c r="X107" s="1"/>
    </row>
    <row r="108" spans="7:24" s="4" customFormat="1" ht="11.25">
      <c r="G108" s="12"/>
      <c r="M108" s="78"/>
      <c r="X108" s="1"/>
    </row>
    <row r="109" spans="7:24" s="4" customFormat="1" ht="11.25">
      <c r="G109" s="12"/>
      <c r="M109" s="78"/>
      <c r="X109" s="1"/>
    </row>
    <row r="110" spans="7:24" s="4" customFormat="1" ht="11.25">
      <c r="G110" s="12"/>
      <c r="M110" s="78"/>
      <c r="X110" s="1"/>
    </row>
    <row r="111" spans="7:24" s="4" customFormat="1" ht="11.25">
      <c r="G111" s="12"/>
      <c r="M111" s="78"/>
      <c r="X111" s="1"/>
    </row>
    <row r="112" spans="7:24" s="4" customFormat="1" ht="11.25">
      <c r="G112" s="12"/>
      <c r="M112" s="78"/>
      <c r="X112" s="1"/>
    </row>
    <row r="113" spans="7:24" s="4" customFormat="1" ht="11.25">
      <c r="G113" s="12"/>
      <c r="M113" s="78"/>
      <c r="X113" s="1"/>
    </row>
    <row r="114" spans="7:24" s="4" customFormat="1" ht="11.25">
      <c r="G114" s="12"/>
      <c r="M114" s="78"/>
      <c r="X114" s="1"/>
    </row>
    <row r="115" spans="7:24" s="4" customFormat="1" ht="11.25">
      <c r="G115" s="12"/>
      <c r="M115" s="78"/>
      <c r="X115" s="1"/>
    </row>
    <row r="116" spans="7:24" s="4" customFormat="1" ht="11.25">
      <c r="G116" s="12"/>
      <c r="M116" s="78"/>
      <c r="X116" s="1"/>
    </row>
    <row r="117" spans="7:24" s="4" customFormat="1" ht="11.25">
      <c r="G117" s="12"/>
      <c r="M117" s="78"/>
      <c r="X117" s="1"/>
    </row>
    <row r="118" spans="7:24" s="4" customFormat="1" ht="11.25">
      <c r="G118" s="12"/>
      <c r="M118" s="78"/>
      <c r="X118" s="1"/>
    </row>
    <row r="119" spans="7:24" s="4" customFormat="1" ht="11.25">
      <c r="G119" s="12"/>
      <c r="M119" s="78"/>
      <c r="X119" s="1"/>
    </row>
    <row r="120" spans="7:24" s="4" customFormat="1" ht="11.25">
      <c r="G120" s="12"/>
      <c r="M120" s="78"/>
      <c r="X120" s="1"/>
    </row>
    <row r="121" spans="7:24" s="4" customFormat="1" ht="11.25">
      <c r="G121" s="12"/>
      <c r="M121" s="78"/>
      <c r="X121" s="1"/>
    </row>
    <row r="122" spans="7:24" s="4" customFormat="1" ht="11.25">
      <c r="G122" s="12"/>
      <c r="M122" s="78"/>
      <c r="X122" s="1"/>
    </row>
    <row r="123" spans="7:24" s="4" customFormat="1" ht="11.25">
      <c r="G123" s="12"/>
      <c r="M123" s="78"/>
      <c r="X123" s="1"/>
    </row>
    <row r="124" spans="7:24" s="4" customFormat="1" ht="11.25">
      <c r="G124" s="12"/>
      <c r="M124" s="78"/>
      <c r="X124" s="1"/>
    </row>
    <row r="125" spans="7:24" s="4" customFormat="1" ht="11.25">
      <c r="G125" s="12"/>
      <c r="M125" s="78"/>
      <c r="X125" s="1"/>
    </row>
  </sheetData>
  <sheetProtection/>
  <mergeCells count="4">
    <mergeCell ref="B68:H68"/>
    <mergeCell ref="B89:H89"/>
    <mergeCell ref="B96:H96"/>
    <mergeCell ref="B98:H9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3" scale="86" r:id="rId2"/>
  <headerFooter>
    <oddFooter>&amp;CPage &amp;P of &amp;N</oddFooter>
  </headerFooter>
  <ignoredErrors>
    <ignoredError sqref="F5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ESTIMATE</dc:subject>
  <dc:creator>Michael Baigent</dc:creator>
  <cp:keywords/>
  <dc:description/>
  <cp:lastModifiedBy>Clark, Stephen J. (Vancouver)</cp:lastModifiedBy>
  <cp:lastPrinted>2014-03-28T18:33:37Z</cp:lastPrinted>
  <dcterms:created xsi:type="dcterms:W3CDTF">1998-12-07T19:56:09Z</dcterms:created>
  <dcterms:modified xsi:type="dcterms:W3CDTF">2014-03-28T18:33:44Z</dcterms:modified>
  <cp:category/>
  <cp:version/>
  <cp:contentType/>
  <cp:contentStatus/>
</cp:coreProperties>
</file>