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18195" windowHeight="11340" tabRatio="604"/>
  </bookViews>
  <sheets>
    <sheet name="CC-A" sheetId="14" r:id="rId1"/>
    <sheet name="CC-B" sheetId="5" r:id="rId2"/>
    <sheet name="CC-B2" sheetId="22" r:id="rId3"/>
    <sheet name="CC-C" sheetId="15" r:id="rId4"/>
    <sheet name="CC-C2" sheetId="23" r:id="rId5"/>
    <sheet name="CC-C3" sheetId="25" r:id="rId6"/>
    <sheet name="CC-D" sheetId="16" r:id="rId7"/>
    <sheet name="CC-D2" sheetId="24" r:id="rId8"/>
    <sheet name="CC-D3" sheetId="26" r:id="rId9"/>
    <sheet name="CC-E" sheetId="17" r:id="rId10"/>
    <sheet name="CC-E2" sheetId="27" r:id="rId11"/>
    <sheet name="CC-E3" sheetId="29" r:id="rId12"/>
    <sheet name="CC-F" sheetId="18" r:id="rId13"/>
    <sheet name="CC-G" sheetId="19" r:id="rId14"/>
    <sheet name="CC-H" sheetId="20" r:id="rId15"/>
    <sheet name="CC-I" sheetId="31" r:id="rId16"/>
    <sheet name="CC-I2" sheetId="32" r:id="rId17"/>
  </sheets>
  <definedNames>
    <definedName name="_xlnm.Print_Area" localSheetId="0">'CC-A'!$A$1:$F$57</definedName>
    <definedName name="_xlnm.Print_Area" localSheetId="1">'CC-B'!$A$1:$F$56</definedName>
    <definedName name="_xlnm.Print_Area" localSheetId="2">'CC-B2'!$A$1:$F$41</definedName>
    <definedName name="_xlnm.Print_Area" localSheetId="3">'CC-C'!$A$1:$F$57</definedName>
    <definedName name="_xlnm.Print_Area" localSheetId="4">'CC-C2'!$A$1:$F$58</definedName>
    <definedName name="_xlnm.Print_Area" localSheetId="5">'CC-C3'!$A$1:$F$55</definedName>
    <definedName name="_xlnm.Print_Area" localSheetId="6">'CC-D'!$A$1:$F$57</definedName>
    <definedName name="_xlnm.Print_Area" localSheetId="7">'CC-D2'!$A$1:$F$57</definedName>
    <definedName name="_xlnm.Print_Area" localSheetId="8">'CC-D3'!$A$1:$F$42</definedName>
    <definedName name="_xlnm.Print_Area" localSheetId="9">'CC-E'!$A$1:$F$41</definedName>
    <definedName name="_xlnm.Print_Area" localSheetId="10">'CC-E2'!$A$1:$F$41</definedName>
    <definedName name="_xlnm.Print_Area" localSheetId="11">'CC-E3'!$A$1:$F$42</definedName>
    <definedName name="_xlnm.Print_Area" localSheetId="12">'CC-F'!$A$1:$F$41</definedName>
    <definedName name="_xlnm.Print_Area" localSheetId="13">'CC-G'!$A$1:$F$58</definedName>
    <definedName name="_xlnm.Print_Area" localSheetId="14">'CC-H'!$A$1:$F$58</definedName>
    <definedName name="_xlnm.Print_Area" localSheetId="15">'CC-I'!$A$1:$F$56</definedName>
    <definedName name="_xlnm.Print_Area" localSheetId="16">'CC-I2'!$A$1:$F$41</definedName>
  </definedNames>
  <calcPr calcId="145621"/>
</workbook>
</file>

<file path=xl/calcChain.xml><?xml version="1.0" encoding="utf-8"?>
<calcChain xmlns="http://schemas.openxmlformats.org/spreadsheetml/2006/main">
  <c r="A53" i="31" l="1"/>
  <c r="A55" i="20"/>
  <c r="A55" i="19"/>
  <c r="A54" i="24"/>
  <c r="A54" i="16"/>
  <c r="A52" i="25"/>
  <c r="A55" i="23"/>
  <c r="A54" i="15"/>
  <c r="A53" i="5"/>
  <c r="A39" i="32"/>
  <c r="A36" i="32"/>
  <c r="A43" i="31"/>
  <c r="A40" i="31"/>
  <c r="A45" i="20"/>
  <c r="A42" i="20"/>
  <c r="A45" i="19"/>
  <c r="A42" i="19"/>
  <c r="A39" i="18"/>
  <c r="A36" i="18"/>
  <c r="A40" i="29"/>
  <c r="A37" i="29"/>
  <c r="A39" i="27"/>
  <c r="A36" i="27"/>
  <c r="A39" i="17"/>
  <c r="A36" i="17"/>
  <c r="A40" i="26"/>
  <c r="A37" i="26"/>
  <c r="A44" i="24"/>
  <c r="A41" i="24"/>
  <c r="A44" i="16"/>
  <c r="A41" i="16"/>
  <c r="A42" i="25"/>
  <c r="A39" i="25"/>
  <c r="A45" i="23"/>
  <c r="A42" i="23"/>
  <c r="A44" i="15"/>
  <c r="A41" i="15"/>
  <c r="A39" i="22"/>
  <c r="A36" i="22"/>
  <c r="A43" i="5"/>
  <c r="A40" i="5"/>
  <c r="A44" i="14"/>
  <c r="A54" i="14"/>
  <c r="A41" i="14"/>
  <c r="F32" i="14"/>
  <c r="A32" i="32" l="1"/>
  <c r="A33" i="32" s="1"/>
  <c r="D37" i="31"/>
  <c r="A37" i="31"/>
  <c r="A35" i="31"/>
  <c r="A32" i="31"/>
  <c r="A33" i="31" s="1"/>
  <c r="D38" i="20"/>
  <c r="A39" i="20"/>
  <c r="A38" i="20"/>
  <c r="D38" i="19"/>
  <c r="A38" i="19"/>
  <c r="A39" i="19" s="1"/>
  <c r="D38" i="24"/>
  <c r="A38" i="24"/>
  <c r="A36" i="24"/>
  <c r="A33" i="24"/>
  <c r="A34" i="24" s="1"/>
  <c r="A36" i="25"/>
  <c r="D38" i="23"/>
  <c r="A38" i="23"/>
  <c r="A39" i="23" s="1"/>
  <c r="A36" i="23"/>
  <c r="A34" i="23"/>
  <c r="A33" i="23"/>
  <c r="F25" i="27"/>
  <c r="F24" i="18"/>
  <c r="F24" i="17"/>
  <c r="F24" i="22"/>
  <c r="F32" i="32" l="1"/>
  <c r="F33" i="32"/>
  <c r="F49" i="31"/>
  <c r="F48" i="31"/>
  <c r="F50" i="31"/>
  <c r="F52" i="23"/>
  <c r="F51" i="23"/>
  <c r="F50" i="23"/>
  <c r="F51" i="24"/>
  <c r="F50" i="24"/>
  <c r="F49" i="24"/>
  <c r="F36" i="24"/>
  <c r="F35" i="24" s="1"/>
  <c r="F34" i="24"/>
  <c r="F32" i="31"/>
  <c r="F37" i="31"/>
  <c r="F36" i="31" s="1"/>
  <c r="F33" i="31"/>
  <c r="F35" i="31"/>
  <c r="F34" i="31" s="1"/>
  <c r="F33" i="24"/>
  <c r="F38" i="24"/>
  <c r="F37" i="24" s="1"/>
  <c r="F33" i="23"/>
  <c r="F38" i="23"/>
  <c r="F34" i="23"/>
  <c r="F36" i="23"/>
  <c r="F35" i="23" s="1"/>
  <c r="F39" i="23"/>
  <c r="A33" i="26"/>
  <c r="A34" i="26" s="1"/>
  <c r="F31" i="32" l="1"/>
  <c r="F34" i="32" s="1"/>
  <c r="F36" i="32" s="1"/>
  <c r="F52" i="24"/>
  <c r="F54" i="24" s="1"/>
  <c r="F55" i="24" s="1"/>
  <c r="F51" i="31"/>
  <c r="F53" i="31" s="1"/>
  <c r="F54" i="31" s="1"/>
  <c r="F53" i="23"/>
  <c r="F55" i="23" s="1"/>
  <c r="F56" i="23" s="1"/>
  <c r="F32" i="24"/>
  <c r="F39" i="24" s="1"/>
  <c r="F41" i="24" s="1"/>
  <c r="F31" i="31"/>
  <c r="F38" i="31" s="1"/>
  <c r="F40" i="31" s="1"/>
  <c r="F37" i="23"/>
  <c r="F32" i="23"/>
  <c r="F34" i="26"/>
  <c r="F33" i="26"/>
  <c r="A34" i="29"/>
  <c r="A33" i="29"/>
  <c r="F22" i="32"/>
  <c r="F22" i="31"/>
  <c r="F24" i="31" s="1"/>
  <c r="F33" i="29"/>
  <c r="F23" i="29"/>
  <c r="A33" i="27"/>
  <c r="A32" i="27"/>
  <c r="F32" i="27"/>
  <c r="F22" i="27"/>
  <c r="F24" i="27" s="1"/>
  <c r="F23" i="26"/>
  <c r="F25" i="26" s="1"/>
  <c r="A33" i="25"/>
  <c r="A34" i="25" s="1"/>
  <c r="F23" i="25"/>
  <c r="F25" i="25" s="1"/>
  <c r="F39" i="32" l="1"/>
  <c r="F37" i="32"/>
  <c r="F34" i="29"/>
  <c r="F49" i="25"/>
  <c r="F48" i="25"/>
  <c r="F47" i="25"/>
  <c r="F32" i="29"/>
  <c r="F35" i="29" s="1"/>
  <c r="F37" i="29" s="1"/>
  <c r="F41" i="31"/>
  <c r="F42" i="24"/>
  <c r="F36" i="25"/>
  <c r="F40" i="23"/>
  <c r="F42" i="23" s="1"/>
  <c r="F24" i="32"/>
  <c r="F25" i="32" s="1"/>
  <c r="F27" i="32" s="1"/>
  <c r="F25" i="29"/>
  <c r="F26" i="29" s="1"/>
  <c r="F32" i="26"/>
  <c r="F35" i="26" s="1"/>
  <c r="F37" i="26" s="1"/>
  <c r="F34" i="25"/>
  <c r="F27" i="27"/>
  <c r="F33" i="27"/>
  <c r="F31" i="27" s="1"/>
  <c r="F34" i="27" s="1"/>
  <c r="F36" i="27" s="1"/>
  <c r="F26" i="26"/>
  <c r="F28" i="26" s="1"/>
  <c r="F26" i="25"/>
  <c r="F33" i="25"/>
  <c r="F37" i="27" l="1"/>
  <c r="F38" i="29"/>
  <c r="F50" i="25"/>
  <c r="F52" i="25" s="1"/>
  <c r="F53" i="25" s="1"/>
  <c r="F32" i="25"/>
  <c r="F35" i="25"/>
  <c r="F43" i="23"/>
  <c r="F28" i="29"/>
  <c r="F40" i="29" s="1"/>
  <c r="F39" i="27"/>
  <c r="F40" i="26"/>
  <c r="F38" i="26"/>
  <c r="F25" i="31"/>
  <c r="F27" i="31" s="1"/>
  <c r="F43" i="31" s="1"/>
  <c r="F28" i="25"/>
  <c r="F37" i="25" l="1"/>
  <c r="F39" i="25" s="1"/>
  <c r="F40" i="25" l="1"/>
  <c r="F42" i="25"/>
  <c r="D38" i="14" l="1"/>
  <c r="D37" i="14"/>
  <c r="A37" i="14"/>
  <c r="A38" i="14" s="1"/>
  <c r="A36" i="20" l="1"/>
  <c r="D39" i="19"/>
  <c r="F23" i="24"/>
  <c r="F25" i="24" s="1"/>
  <c r="F23" i="23"/>
  <c r="F25" i="23" l="1"/>
  <c r="F26" i="24"/>
  <c r="F28" i="24" s="1"/>
  <c r="F44" i="24" s="1"/>
  <c r="F49" i="14"/>
  <c r="A32" i="22"/>
  <c r="A33" i="22" s="1"/>
  <c r="F22" i="22"/>
  <c r="F50" i="15" l="1"/>
  <c r="F49" i="15"/>
  <c r="F51" i="15"/>
  <c r="F49" i="5"/>
  <c r="F48" i="5"/>
  <c r="F50" i="5"/>
  <c r="F50" i="19"/>
  <c r="F52" i="19"/>
  <c r="F51" i="19"/>
  <c r="F51" i="16"/>
  <c r="F50" i="16"/>
  <c r="F49" i="16"/>
  <c r="F50" i="20"/>
  <c r="F52" i="20"/>
  <c r="F51" i="20"/>
  <c r="F28" i="23"/>
  <c r="F45" i="23" s="1"/>
  <c r="F26" i="23"/>
  <c r="F38" i="20"/>
  <c r="F38" i="19"/>
  <c r="F36" i="20"/>
  <c r="F38" i="14"/>
  <c r="F37" i="14"/>
  <c r="F51" i="14"/>
  <c r="F39" i="20"/>
  <c r="F32" i="22"/>
  <c r="F33" i="22"/>
  <c r="F25" i="22"/>
  <c r="F27" i="22" s="1"/>
  <c r="F53" i="19" l="1"/>
  <c r="F55" i="19" s="1"/>
  <c r="F56" i="19" s="1"/>
  <c r="F53" i="20"/>
  <c r="F55" i="20" s="1"/>
  <c r="F56" i="20" s="1"/>
  <c r="F52" i="16"/>
  <c r="F54" i="16" s="1"/>
  <c r="F55" i="16" s="1"/>
  <c r="F51" i="5"/>
  <c r="F53" i="5" s="1"/>
  <c r="F54" i="5" s="1"/>
  <c r="F52" i="15"/>
  <c r="F54" i="15" s="1"/>
  <c r="F55" i="15" s="1"/>
  <c r="F36" i="14"/>
  <c r="F37" i="20"/>
  <c r="F31" i="22"/>
  <c r="F34" i="22" s="1"/>
  <c r="F36" i="22" s="1"/>
  <c r="F37" i="22" l="1"/>
  <c r="F39" i="22"/>
  <c r="F50" i="14"/>
  <c r="F52" i="14" s="1"/>
  <c r="F54" i="14" s="1"/>
  <c r="F35" i="14"/>
  <c r="F34" i="14" s="1"/>
  <c r="A35" i="14"/>
  <c r="F55" i="14" l="1"/>
  <c r="D38" i="15"/>
  <c r="F35" i="20" l="1"/>
  <c r="F34" i="20"/>
  <c r="F33" i="20"/>
  <c r="A33" i="20"/>
  <c r="A34" i="20" s="1"/>
  <c r="F23" i="20"/>
  <c r="F25" i="20" s="1"/>
  <c r="F39" i="19"/>
  <c r="F37" i="19" s="1"/>
  <c r="F36" i="19"/>
  <c r="F35" i="19" s="1"/>
  <c r="A36" i="19"/>
  <c r="F34" i="19"/>
  <c r="F33" i="19"/>
  <c r="A33" i="19"/>
  <c r="A34" i="19" s="1"/>
  <c r="F23" i="19"/>
  <c r="F25" i="19" s="1"/>
  <c r="F33" i="18"/>
  <c r="F32" i="18"/>
  <c r="A32" i="18"/>
  <c r="A33" i="18" s="1"/>
  <c r="F22" i="18"/>
  <c r="F33" i="17"/>
  <c r="F32" i="17"/>
  <c r="A32" i="17"/>
  <c r="A33" i="17" s="1"/>
  <c r="F22" i="17"/>
  <c r="D38" i="16"/>
  <c r="F38" i="16" s="1"/>
  <c r="F37" i="16" s="1"/>
  <c r="A38" i="16"/>
  <c r="F36" i="16"/>
  <c r="F35" i="16" s="1"/>
  <c r="A36" i="16"/>
  <c r="F34" i="16"/>
  <c r="F33" i="16"/>
  <c r="A33" i="16"/>
  <c r="A34" i="16" s="1"/>
  <c r="F23" i="16"/>
  <c r="F25" i="16" s="1"/>
  <c r="F38" i="15"/>
  <c r="F37" i="15" s="1"/>
  <c r="A38" i="15"/>
  <c r="F36" i="15"/>
  <c r="F35" i="15" s="1"/>
  <c r="A36" i="15"/>
  <c r="F34" i="15"/>
  <c r="F33" i="15"/>
  <c r="A33" i="15"/>
  <c r="A34" i="15" s="1"/>
  <c r="F23" i="15"/>
  <c r="F25" i="15" s="1"/>
  <c r="F33" i="14"/>
  <c r="A32" i="14"/>
  <c r="A33" i="14" s="1"/>
  <c r="F22" i="14"/>
  <c r="F24" i="14" s="1"/>
  <c r="F25" i="17" l="1"/>
  <c r="F27" i="17" s="1"/>
  <c r="F26" i="19"/>
  <c r="F28" i="19" s="1"/>
  <c r="F26" i="15"/>
  <c r="F28" i="15" s="1"/>
  <c r="F32" i="20"/>
  <c r="F32" i="16"/>
  <c r="F32" i="15"/>
  <c r="F31" i="14"/>
  <c r="F39" i="14" s="1"/>
  <c r="F25" i="14"/>
  <c r="F27" i="14" s="1"/>
  <c r="F26" i="20"/>
  <c r="F28" i="20" s="1"/>
  <c r="F32" i="19"/>
  <c r="F31" i="18"/>
  <c r="F31" i="17"/>
  <c r="F26" i="16"/>
  <c r="F28" i="16" s="1"/>
  <c r="F35" i="5"/>
  <c r="F33" i="5"/>
  <c r="F32" i="5"/>
  <c r="F40" i="19" l="1"/>
  <c r="F42" i="19" s="1"/>
  <c r="F39" i="16"/>
  <c r="F41" i="16" s="1"/>
  <c r="F40" i="20"/>
  <c r="F42" i="20" s="1"/>
  <c r="F34" i="17"/>
  <c r="F36" i="17" s="1"/>
  <c r="F34" i="18"/>
  <c r="F36" i="18" s="1"/>
  <c r="F25" i="18"/>
  <c r="F27" i="18" s="1"/>
  <c r="F39" i="15"/>
  <c r="F41" i="15" s="1"/>
  <c r="F44" i="16" l="1"/>
  <c r="F42" i="16"/>
  <c r="F43" i="20"/>
  <c r="F45" i="20"/>
  <c r="F37" i="18"/>
  <c r="F39" i="18"/>
  <c r="F45" i="19"/>
  <c r="F43" i="19"/>
  <c r="F37" i="17"/>
  <c r="F39" i="17"/>
  <c r="F42" i="15"/>
  <c r="F44" i="15"/>
  <c r="A37" i="5" l="1"/>
  <c r="D37" i="5" l="1"/>
  <c r="F37" i="5" s="1"/>
  <c r="A35" i="5" l="1"/>
  <c r="F36" i="5"/>
  <c r="F34" i="5"/>
  <c r="A32" i="5"/>
  <c r="A33" i="5" s="1"/>
  <c r="F31" i="5" l="1"/>
  <c r="F38" i="5" s="1"/>
  <c r="F22" i="5" l="1"/>
  <c r="F24" i="5" s="1"/>
  <c r="F25" i="5" l="1"/>
  <c r="F27" i="5" s="1"/>
  <c r="F40" i="5" l="1"/>
  <c r="F41" i="5" l="1"/>
  <c r="F43" i="5"/>
  <c r="F41" i="14"/>
  <c r="F44" i="14" l="1"/>
  <c r="F42" i="14"/>
</calcChain>
</file>

<file path=xl/sharedStrings.xml><?xml version="1.0" encoding="utf-8"?>
<sst xmlns="http://schemas.openxmlformats.org/spreadsheetml/2006/main" count="963" uniqueCount="97">
  <si>
    <t>NPC
(2014 CAD)</t>
  </si>
  <si>
    <t>Task No.</t>
  </si>
  <si>
    <t>Description</t>
  </si>
  <si>
    <t>Bulk Earthworks</t>
  </si>
  <si>
    <t>Mobilization</t>
  </si>
  <si>
    <t>Indirects</t>
  </si>
  <si>
    <t>Subtotal</t>
  </si>
  <si>
    <t>Operational Costs</t>
  </si>
  <si>
    <t>Visual Inspections</t>
  </si>
  <si>
    <t>Frequency
(Years)</t>
  </si>
  <si>
    <t>Monitoring</t>
  </si>
  <si>
    <t>Surveys</t>
  </si>
  <si>
    <t>Maintenance</t>
  </si>
  <si>
    <t>Duration
(Years)</t>
  </si>
  <si>
    <t>Cost
(2014 CAD)</t>
  </si>
  <si>
    <t>Capital Costs</t>
  </si>
  <si>
    <t>Total Estimated Capital Costs</t>
  </si>
  <si>
    <t>Waste Rock Dump Stabilization</t>
  </si>
  <si>
    <t>Creek Bed Stabilization</t>
  </si>
  <si>
    <t>Major Road Improvements</t>
  </si>
  <si>
    <t>Support Equipment</t>
  </si>
  <si>
    <t>Support Labour</t>
  </si>
  <si>
    <t>Fuel Transportation</t>
  </si>
  <si>
    <t>EPCM</t>
  </si>
  <si>
    <t>Replacement</t>
  </si>
  <si>
    <t>SHEET TITLE:</t>
  </si>
  <si>
    <t>PROJECT NO. AND TITLE:</t>
  </si>
  <si>
    <t>CLIENT:</t>
  </si>
  <si>
    <t>LOCATION:</t>
  </si>
  <si>
    <t>ESTIMATE BASIS:</t>
  </si>
  <si>
    <t>DATE:</t>
  </si>
  <si>
    <t>2014 CDN Dollars (+/- 50% accuracy)</t>
  </si>
  <si>
    <t>LIFECYCLE COST ANALYSIS</t>
  </si>
  <si>
    <t>Clinton Creek Option B LCCA</t>
  </si>
  <si>
    <t>Equivalent Annual Operational Costs</t>
  </si>
  <si>
    <t>Bulk Excavation</t>
  </si>
  <si>
    <t>Clinton Creek Option A LCCA</t>
  </si>
  <si>
    <t>307071-00895 Clinton Creek LCCA</t>
  </si>
  <si>
    <t>Clinton Creek Option C LCCA</t>
  </si>
  <si>
    <t>Clinton Creek Option D LCCA</t>
  </si>
  <si>
    <t>Clinton Creek Option E LCCA</t>
  </si>
  <si>
    <t>Clinton Creek Option F LCCA</t>
  </si>
  <si>
    <t>Clinton Creek Option G LCCA</t>
  </si>
  <si>
    <t>Clinton Creek Option H LCCA</t>
  </si>
  <si>
    <t>Access Road Construction</t>
  </si>
  <si>
    <t>Contingency (25%)</t>
  </si>
  <si>
    <t>Clinton Creek Option B2 LCCA</t>
  </si>
  <si>
    <t>25% Contingency Incl., Real Discount Rate =</t>
  </si>
  <si>
    <t>Slope Stabilization</t>
  </si>
  <si>
    <t>Drop Structure 4 Repair</t>
  </si>
  <si>
    <t>Construction Water Management</t>
  </si>
  <si>
    <t>Clinton Creek Option C2 LCCA</t>
  </si>
  <si>
    <t>Clinton Creek Option D2 LCCA</t>
  </si>
  <si>
    <t>Contingency (50%)</t>
  </si>
  <si>
    <t>Clinton Creek Site, YT</t>
  </si>
  <si>
    <t>Assessment and Abandoned Mines</t>
  </si>
  <si>
    <t>Maintaining Site Access</t>
  </si>
  <si>
    <t>Clinton Creek Option C3 LCCA</t>
  </si>
  <si>
    <t>Clinton Creek Option D3 LCCA</t>
  </si>
  <si>
    <t>Clinton Creek Option E2 LCCA</t>
  </si>
  <si>
    <t>Clinton Creek Option E3 LCCA</t>
  </si>
  <si>
    <t>Asbestos Control</t>
  </si>
  <si>
    <t>Clinton Creek Option I LCCA</t>
  </si>
  <si>
    <t>Clinton Creek Option I2 LCCA</t>
  </si>
  <si>
    <t>Grade Access Road (15 km)</t>
  </si>
  <si>
    <t xml:space="preserve">Note: This is not considered a walk-away solution. Site access would need to be maintained in order to complete regular monitoring, maintenance and replacement. </t>
  </si>
  <si>
    <t xml:space="preserve">Note: This is considered a walk-away solution. Therefore site access would not need to be maintained. </t>
  </si>
  <si>
    <t>Equivalent Annual Cost</t>
  </si>
  <si>
    <t>REVISION:</t>
  </si>
  <si>
    <t>Replace 2 Gabion Drop Structures
(Cost Breakdown in Appendix 3)</t>
  </si>
  <si>
    <t>Replace Drop Structure 4 Armouring
(Cost Breakdown in Appendix 3)</t>
  </si>
  <si>
    <t>Repair 4 Gabion Drop Structures
(Cost Breakdown in Appendix 3)</t>
  </si>
  <si>
    <t>Repair 8 Gabion Drop Structures
(Cost Breakdown in Appendix 3)</t>
  </si>
  <si>
    <t>Repair 12 Gabion Drop Structures
(Cost Breakdown in Appendix 3)</t>
  </si>
  <si>
    <t>Repair 4 Gabion Drop Structures and Gabion Channel
(Same as "Repair 12 Drop Structures", Cost Breakdown in Appendix 3)</t>
  </si>
  <si>
    <t>Replace 550 m Gabion Channel
(Cost Breakdown in Appendix 3)</t>
  </si>
  <si>
    <t>Replace 750 m Riprap-Lined Channel
(Cost Breakdown in Appendix 3)</t>
  </si>
  <si>
    <t>Replace 550 m Riprap-Lined Channel
(Cost Breakdown in Appendix 3)</t>
  </si>
  <si>
    <t>Site Access Road Resurfacing (15 km)
(Cost Breakdown in Appendix 3)</t>
  </si>
  <si>
    <t>15 m Long Bridge Replacement
(Cost Breakdown in Appendix 3)</t>
  </si>
  <si>
    <t>Note: Cost Breakdown in Appendix 3, Option CC-A</t>
  </si>
  <si>
    <t>Note: Cost Breakdown in Appendix 3, Option CC-B</t>
  </si>
  <si>
    <t>Note: Cost Breakdown in Appendix 3, Option CC-B2</t>
  </si>
  <si>
    <t>Note: Cost Breakdown in Appendix 3, Option CC-C</t>
  </si>
  <si>
    <t>Note: Cost Breakdown in Appendix 3, Option CC-C2</t>
  </si>
  <si>
    <t>Note: Cost Breakdown in Appendix 3, Option CC-C3</t>
  </si>
  <si>
    <t>Note: Cost Breakdown in Appendix 3, Option CC-D</t>
  </si>
  <si>
    <t>Note: Cost Breakdown in Appendix 3, Option CC-D2</t>
  </si>
  <si>
    <t>Note: Cost Breakdown in Appendix 3, Option CC-D3</t>
  </si>
  <si>
    <t>Note: Cost Breakdown in Appendix 3, Option CC-E</t>
  </si>
  <si>
    <t>Note: Cost Breakdown in Appendix 3, Option CC-E2</t>
  </si>
  <si>
    <t>Note: Cost Breakdown in Appendix 3, Option CC-E3</t>
  </si>
  <si>
    <t>Note: Cost Breakdown in Appendix 3, Option CC-F</t>
  </si>
  <si>
    <t>Note: Cost Breakdown in Appendix 3, Option CC-G</t>
  </si>
  <si>
    <t>Note: Cost Breakdown in Appendix 3, Option CC-H</t>
  </si>
  <si>
    <t>Note: Cost Breakdown in Appendix 3, Option CC-I</t>
  </si>
  <si>
    <t>Note: Cost Breakdown in Appendix 3, Option CC-I2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</si>
</sst>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164" formatCode="0.0%"/>
    <numFmt numFmtId="165" formatCode="0.0"/>
    <numFmt numFmtId="166" formatCode="_-&quot;$&quot;* #,##0_-;\-&quot;$&quot;* #,##0_-;_-&quot;$&quot;* &quot;-&quot;??_-;_-@_-"/>
    <numFmt numFmtId="167" formatCode="_-&quot;$&quot;* #,##0.00_-&quot;M&quot;;\-&quot;$&quot;* #,##0.00_-&quot;M&quot;;_-&quot;$&quot;* &quot;-&quot;??_-;_-@_-"/>
    <numFmt numFmtId="168" formatCode="#,##0.0"/>
    <numFmt numFmtId="169" formatCode="[$-1009]mmmm\ d\,\ yyyy;@"/>
    <numFmt numFmtId="170" formatCode="_-&quot;$&quot;* #,##0.00_-&quot;M/yr&quot;;\-&quot;$&quot;* #,##0.00_-&quot;M/yr&quot;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165" fontId="6" fillId="0" borderId="7" xfId="0" quotePrefix="1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167" fontId="6" fillId="0" borderId="8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4" fontId="6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7" fontId="6" fillId="0" borderId="4" xfId="1" applyNumberFormat="1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/>
    </xf>
    <xf numFmtId="165" fontId="7" fillId="0" borderId="7" xfId="0" quotePrefix="1" applyNumberFormat="1" applyFont="1" applyBorder="1" applyAlignment="1">
      <alignment horizontal="left" vertical="center" indent="1"/>
    </xf>
    <xf numFmtId="166" fontId="7" fillId="0" borderId="0" xfId="1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7" fontId="7" fillId="0" borderId="8" xfId="1" applyNumberFormat="1" applyFont="1" applyBorder="1" applyAlignment="1">
      <alignment vertical="center"/>
    </xf>
    <xf numFmtId="166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8" fillId="3" borderId="9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right" vertical="center"/>
    </xf>
    <xf numFmtId="164" fontId="10" fillId="3" borderId="10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167" fontId="8" fillId="3" borderId="10" xfId="1" applyNumberFormat="1" applyFont="1" applyFill="1" applyBorder="1" applyAlignment="1">
      <alignment vertical="center"/>
    </xf>
    <xf numFmtId="0" fontId="12" fillId="0" borderId="0" xfId="2" applyFont="1"/>
    <xf numFmtId="0" fontId="11" fillId="0" borderId="0" xfId="2" applyFont="1"/>
    <xf numFmtId="0" fontId="11" fillId="0" borderId="0" xfId="0" applyFont="1"/>
    <xf numFmtId="0" fontId="11" fillId="0" borderId="0" xfId="2" applyFont="1" applyBorder="1"/>
    <xf numFmtId="0" fontId="13" fillId="2" borderId="9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167" fontId="13" fillId="2" borderId="10" xfId="1" applyNumberFormat="1" applyFont="1" applyFill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170" fontId="13" fillId="2" borderId="10" xfId="1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168" fontId="7" fillId="0" borderId="0" xfId="0" applyNumberFormat="1" applyFont="1" applyBorder="1" applyAlignment="1">
      <alignment horizontal="center" vertical="center"/>
    </xf>
    <xf numFmtId="165" fontId="6" fillId="0" borderId="7" xfId="0" quotePrefix="1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vertical="center"/>
    </xf>
    <xf numFmtId="165" fontId="7" fillId="0" borderId="7" xfId="0" quotePrefix="1" applyNumberFormat="1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167" fontId="7" fillId="0" borderId="8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0" fontId="6" fillId="0" borderId="0" xfId="0" applyFont="1" applyBorder="1" applyAlignment="1">
      <alignment vertical="center" wrapText="1"/>
    </xf>
    <xf numFmtId="166" fontId="6" fillId="0" borderId="0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66" fontId="6" fillId="0" borderId="5" xfId="1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167" fontId="6" fillId="0" borderId="6" xfId="1" applyNumberFormat="1" applyFont="1" applyBorder="1" applyAlignment="1">
      <alignment vertical="center"/>
    </xf>
    <xf numFmtId="169" fontId="11" fillId="0" borderId="0" xfId="2" applyNumberFormat="1" applyFont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zoomScale="85" zoomScaleNormal="85" workbookViewId="0">
      <selection activeCell="B14" sqref="B14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36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0.26200000000000001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3.62</v>
      </c>
    </row>
    <row r="13" spans="1:7" s="5" customFormat="1" ht="15" x14ac:dyDescent="0.25">
      <c r="A13" s="8">
        <v>3</v>
      </c>
      <c r="B13" s="9" t="s">
        <v>48</v>
      </c>
      <c r="C13" s="10"/>
      <c r="D13" s="14"/>
      <c r="E13" s="11"/>
      <c r="F13" s="12">
        <v>0.245</v>
      </c>
    </row>
    <row r="14" spans="1:7" s="5" customFormat="1" ht="15" x14ac:dyDescent="0.25">
      <c r="A14" s="8">
        <v>4</v>
      </c>
      <c r="B14" s="9" t="s">
        <v>49</v>
      </c>
      <c r="C14" s="10"/>
      <c r="D14" s="14"/>
      <c r="E14" s="11"/>
      <c r="F14" s="12">
        <v>0.8</v>
      </c>
    </row>
    <row r="15" spans="1:7" s="5" customFormat="1" ht="15" x14ac:dyDescent="0.25">
      <c r="A15" s="8">
        <v>5</v>
      </c>
      <c r="B15" s="9" t="s">
        <v>50</v>
      </c>
      <c r="C15" s="10"/>
      <c r="D15" s="14"/>
      <c r="E15" s="11"/>
      <c r="F15" s="12">
        <v>0.51600000000000001</v>
      </c>
    </row>
    <row r="16" spans="1:7" x14ac:dyDescent="0.25">
      <c r="A16" s="8">
        <v>6</v>
      </c>
      <c r="B16" s="9" t="s">
        <v>20</v>
      </c>
      <c r="C16" s="10"/>
      <c r="D16" s="14"/>
      <c r="E16" s="11"/>
      <c r="F16" s="12">
        <v>0.16300000000000001</v>
      </c>
    </row>
    <row r="17" spans="1:9" s="5" customFormat="1" ht="15" x14ac:dyDescent="0.25">
      <c r="A17" s="8">
        <v>7</v>
      </c>
      <c r="B17" s="9" t="s">
        <v>21</v>
      </c>
      <c r="C17" s="10"/>
      <c r="D17" s="9"/>
      <c r="E17" s="11"/>
      <c r="F17" s="12">
        <v>0.54</v>
      </c>
    </row>
    <row r="18" spans="1:9" x14ac:dyDescent="0.25">
      <c r="A18" s="8">
        <v>8</v>
      </c>
      <c r="B18" s="9" t="s">
        <v>61</v>
      </c>
      <c r="C18" s="10"/>
      <c r="D18" s="14"/>
      <c r="E18" s="11"/>
      <c r="F18" s="12">
        <v>0.77</v>
      </c>
    </row>
    <row r="19" spans="1:9" x14ac:dyDescent="0.25">
      <c r="A19" s="8">
        <v>9</v>
      </c>
      <c r="B19" s="9" t="s">
        <v>22</v>
      </c>
      <c r="C19" s="10"/>
      <c r="D19" s="14"/>
      <c r="E19" s="11"/>
      <c r="F19" s="12">
        <v>5.0000000000000001E-3</v>
      </c>
    </row>
    <row r="20" spans="1:9" s="5" customFormat="1" ht="15" x14ac:dyDescent="0.25">
      <c r="A20" s="8">
        <v>10</v>
      </c>
      <c r="B20" s="9" t="s">
        <v>5</v>
      </c>
      <c r="C20" s="10"/>
      <c r="D20" s="10"/>
      <c r="E20" s="11"/>
      <c r="F20" s="12">
        <v>2.69</v>
      </c>
    </row>
    <row r="21" spans="1:9" x14ac:dyDescent="0.25">
      <c r="A21" s="16" t="s">
        <v>80</v>
      </c>
      <c r="B21" s="13"/>
      <c r="C21" s="17"/>
      <c r="D21" s="13"/>
      <c r="E21" s="13"/>
      <c r="F21" s="18"/>
    </row>
    <row r="22" spans="1:9" s="4" customFormat="1" ht="15" customHeight="1" x14ac:dyDescent="0.25">
      <c r="A22" s="19" t="s">
        <v>6</v>
      </c>
      <c r="B22" s="20"/>
      <c r="C22" s="21"/>
      <c r="D22" s="20"/>
      <c r="E22" s="20"/>
      <c r="F22" s="22">
        <f>SUBTOTAL(9,F11:F21)</f>
        <v>9.6110000000000007</v>
      </c>
      <c r="G22" s="60"/>
    </row>
    <row r="23" spans="1:9" s="4" customFormat="1" ht="15.75" x14ac:dyDescent="0.25">
      <c r="A23" s="16"/>
      <c r="B23" s="13"/>
      <c r="C23" s="17"/>
      <c r="D23" s="13"/>
      <c r="E23" s="13"/>
      <c r="F23" s="18"/>
    </row>
    <row r="24" spans="1:9" s="4" customFormat="1" ht="15.75" x14ac:dyDescent="0.25">
      <c r="A24" s="8"/>
      <c r="B24" s="9" t="s">
        <v>23</v>
      </c>
      <c r="C24" s="10"/>
      <c r="D24" s="10"/>
      <c r="E24" s="11"/>
      <c r="F24" s="12">
        <f>F22*0.1</f>
        <v>0.96110000000000007</v>
      </c>
      <c r="G24" s="60"/>
    </row>
    <row r="25" spans="1:9" s="5" customFormat="1" ht="15" x14ac:dyDescent="0.25">
      <c r="A25" s="8"/>
      <c r="B25" s="9" t="s">
        <v>45</v>
      </c>
      <c r="C25" s="10"/>
      <c r="D25" s="9"/>
      <c r="E25" s="9"/>
      <c r="F25" s="12">
        <f>SUM(F22:F24)*0.25</f>
        <v>2.6430250000000002</v>
      </c>
      <c r="G25" s="61"/>
    </row>
    <row r="26" spans="1:9" s="5" customFormat="1" ht="15" x14ac:dyDescent="0.25">
      <c r="A26" s="16"/>
      <c r="B26" s="13"/>
      <c r="C26" s="17"/>
      <c r="D26" s="13"/>
      <c r="E26" s="13"/>
      <c r="F26" s="18"/>
    </row>
    <row r="27" spans="1:9" ht="15" x14ac:dyDescent="0.25">
      <c r="A27" s="50" t="s">
        <v>16</v>
      </c>
      <c r="B27" s="51"/>
      <c r="C27" s="52"/>
      <c r="D27" s="51"/>
      <c r="E27" s="51"/>
      <c r="F27" s="53">
        <f>SUM(F22:F26)</f>
        <v>13.215125</v>
      </c>
    </row>
    <row r="28" spans="1:9" x14ac:dyDescent="0.25">
      <c r="E28" s="6"/>
    </row>
    <row r="29" spans="1:9" ht="15.75" x14ac:dyDescent="0.25">
      <c r="A29" s="35" t="s">
        <v>7</v>
      </c>
      <c r="B29" s="36"/>
      <c r="C29" s="37"/>
      <c r="D29" s="38"/>
      <c r="E29" s="39" t="s">
        <v>47</v>
      </c>
      <c r="F29" s="40">
        <v>2.5000000000000001E-2</v>
      </c>
    </row>
    <row r="30" spans="1:9" s="4" customFormat="1" ht="30" x14ac:dyDescent="0.25">
      <c r="A30" s="23" t="s">
        <v>1</v>
      </c>
      <c r="B30" s="24" t="s">
        <v>2</v>
      </c>
      <c r="C30" s="26" t="s">
        <v>14</v>
      </c>
      <c r="D30" s="26" t="s">
        <v>9</v>
      </c>
      <c r="E30" s="26" t="s">
        <v>13</v>
      </c>
      <c r="F30" s="27" t="s">
        <v>0</v>
      </c>
      <c r="I30" s="5"/>
    </row>
    <row r="31" spans="1:9" s="5" customFormat="1" ht="15" x14ac:dyDescent="0.25">
      <c r="A31" s="8">
        <v>1</v>
      </c>
      <c r="B31" s="9" t="s">
        <v>10</v>
      </c>
      <c r="C31" s="28"/>
      <c r="D31" s="28"/>
      <c r="E31" s="11"/>
      <c r="F31" s="12">
        <f>SUBTOTAL(9,F32:F33)</f>
        <v>1.6340739571739724</v>
      </c>
    </row>
    <row r="32" spans="1:9" x14ac:dyDescent="0.25">
      <c r="A32" s="29">
        <f>A31+0.1</f>
        <v>1.1000000000000001</v>
      </c>
      <c r="B32" s="13" t="s">
        <v>8</v>
      </c>
      <c r="C32" s="30">
        <v>15000</v>
      </c>
      <c r="D32" s="31">
        <v>1</v>
      </c>
      <c r="E32" s="31">
        <v>100</v>
      </c>
      <c r="F32" s="32">
        <f>$C32*((1+$F$29)^$E32-1)/(((1+$F$29)^D32-1)*(1+$F$29)^$E32)/1000000</f>
        <v>0.54921157896718642</v>
      </c>
      <c r="H32" s="7"/>
    </row>
    <row r="33" spans="1:9" x14ac:dyDescent="0.25">
      <c r="A33" s="29">
        <f>A32+0.1</f>
        <v>1.2000000000000002</v>
      </c>
      <c r="B33" s="13" t="s">
        <v>11</v>
      </c>
      <c r="C33" s="30">
        <v>60000</v>
      </c>
      <c r="D33" s="31">
        <v>2</v>
      </c>
      <c r="E33" s="31">
        <v>100</v>
      </c>
      <c r="F33" s="32">
        <f>$C33*((1+$F$29)^$E33-1)/(((1+$F$29)^D33-1)*(1+$F$29)^$E33)/1000000</f>
        <v>1.0848623782067861</v>
      </c>
      <c r="H33" s="7"/>
    </row>
    <row r="34" spans="1:9" s="5" customFormat="1" ht="15" x14ac:dyDescent="0.25">
      <c r="A34" s="8">
        <v>2</v>
      </c>
      <c r="B34" s="9" t="s">
        <v>12</v>
      </c>
      <c r="C34" s="33"/>
      <c r="D34" s="34"/>
      <c r="E34" s="34"/>
      <c r="F34" s="12">
        <f>SUBTOTAL(9,F35)</f>
        <v>3.7336251650601526</v>
      </c>
    </row>
    <row r="35" spans="1:9" ht="25.5" x14ac:dyDescent="0.25">
      <c r="A35" s="29">
        <f>A34+0.1</f>
        <v>2.1</v>
      </c>
      <c r="B35" s="15" t="s">
        <v>71</v>
      </c>
      <c r="C35" s="30">
        <v>536000</v>
      </c>
      <c r="D35" s="31">
        <v>5</v>
      </c>
      <c r="E35" s="31">
        <v>100</v>
      </c>
      <c r="F35" s="32">
        <f>$C35*((1+$F$29)^$E35-1)/(((1+$F$29)^D35-1)*(1+$F$29)^$E35)/1000000</f>
        <v>3.7336251650601526</v>
      </c>
      <c r="G35" s="57"/>
      <c r="H35" s="7"/>
    </row>
    <row r="36" spans="1:9" s="5" customFormat="1" ht="15" x14ac:dyDescent="0.25">
      <c r="A36" s="8">
        <v>3</v>
      </c>
      <c r="B36" s="9" t="s">
        <v>24</v>
      </c>
      <c r="C36" s="33"/>
      <c r="D36" s="34"/>
      <c r="E36" s="34"/>
      <c r="F36" s="12">
        <f>SUBTOTAL(9,F37:F38)</f>
        <v>6.1776583190874934</v>
      </c>
    </row>
    <row r="37" spans="1:9" ht="25.5" x14ac:dyDescent="0.25">
      <c r="A37" s="29">
        <f>A36+0.1</f>
        <v>3.1</v>
      </c>
      <c r="B37" s="15" t="s">
        <v>69</v>
      </c>
      <c r="C37" s="30">
        <v>1246000</v>
      </c>
      <c r="D37" s="62">
        <f>2/4*15</f>
        <v>7.5</v>
      </c>
      <c r="E37" s="31">
        <v>100</v>
      </c>
      <c r="F37" s="32">
        <f>$C37*((1+$F$29)^$E37-1)/(((1+$F$29)^D37-1)*(1+$F$29)^$E37)/1000000</f>
        <v>5.6058726450015746</v>
      </c>
      <c r="G37" s="57"/>
      <c r="H37" s="7"/>
    </row>
    <row r="38" spans="1:9" ht="25.5" x14ac:dyDescent="0.25">
      <c r="A38" s="29">
        <f>A37+0.1</f>
        <v>3.2</v>
      </c>
      <c r="B38" s="15" t="s">
        <v>70</v>
      </c>
      <c r="C38" s="30">
        <v>1273000</v>
      </c>
      <c r="D38" s="31">
        <f>45</f>
        <v>45</v>
      </c>
      <c r="E38" s="31">
        <v>100</v>
      </c>
      <c r="F38" s="32">
        <f>$C38*((1+$F$29)^$E38-1)/(((1+$F$29)^D38-1)*(1+$F$29)^$E38)/1000000</f>
        <v>0.57178567408591918</v>
      </c>
      <c r="G38" s="57"/>
      <c r="H38" s="7"/>
    </row>
    <row r="39" spans="1:9" x14ac:dyDescent="0.25">
      <c r="A39" s="19" t="s">
        <v>6</v>
      </c>
      <c r="B39" s="20"/>
      <c r="C39" s="21"/>
      <c r="D39" s="20"/>
      <c r="E39" s="20"/>
      <c r="F39" s="22">
        <f>SUBTOTAL(9,F31:F38)</f>
        <v>11.54535744132162</v>
      </c>
      <c r="G39" s="57"/>
      <c r="H39" s="7"/>
    </row>
    <row r="40" spans="1:9" x14ac:dyDescent="0.25">
      <c r="A40" s="16"/>
      <c r="B40" s="13"/>
      <c r="C40" s="17"/>
      <c r="D40" s="13"/>
      <c r="E40" s="13"/>
      <c r="F40" s="18"/>
    </row>
    <row r="41" spans="1:9" s="5" customFormat="1" ht="15" x14ac:dyDescent="0.25">
      <c r="A41" s="50" t="str">
        <f>"Total Estimated Operational Costs (Over " &amp; TEXT(100,"0") &amp; "-Year Period)"</f>
        <v>Total Estimated Operational Costs (Over 100-Year Period)</v>
      </c>
      <c r="B41" s="51"/>
      <c r="C41" s="52"/>
      <c r="D41" s="51"/>
      <c r="E41" s="51"/>
      <c r="F41" s="53">
        <f>SUM(F39:F40)</f>
        <v>11.54535744132162</v>
      </c>
    </row>
    <row r="42" spans="1:9" s="5" customFormat="1" ht="15" x14ac:dyDescent="0.25">
      <c r="A42" s="50" t="s">
        <v>34</v>
      </c>
      <c r="B42" s="51"/>
      <c r="C42" s="52"/>
      <c r="D42" s="51"/>
      <c r="E42" s="51"/>
      <c r="F42" s="56">
        <f>F41*F29*(1+F29)^100/((1+F29)^100-1)</f>
        <v>0.31532540145183618</v>
      </c>
    </row>
    <row r="44" spans="1:9" s="5" customFormat="1" ht="15.75" x14ac:dyDescent="0.25">
      <c r="A44" s="35" t="str">
        <f>"Total Estimated Lifecycle Costs (Over " &amp; TEXT(100,"0") &amp; "-Year Period)"</f>
        <v>Total Estimated Lifecycle Costs (Over 100-Year Period)</v>
      </c>
      <c r="B44" s="43"/>
      <c r="C44" s="44"/>
      <c r="D44" s="43"/>
      <c r="E44" s="43"/>
      <c r="F44" s="45">
        <f>F27+F41</f>
        <v>24.760482441321621</v>
      </c>
    </row>
    <row r="46" spans="1:9" s="4" customFormat="1" ht="15.75" x14ac:dyDescent="0.25">
      <c r="A46" s="1"/>
      <c r="B46" s="1"/>
      <c r="C46" s="1"/>
      <c r="D46" s="1"/>
      <c r="E46" s="1"/>
      <c r="F46" s="1"/>
      <c r="G46" s="57"/>
    </row>
    <row r="47" spans="1:9" ht="15.75" x14ac:dyDescent="0.25">
      <c r="A47" s="35" t="s">
        <v>56</v>
      </c>
      <c r="B47" s="36"/>
      <c r="C47" s="37"/>
      <c r="D47" s="38"/>
      <c r="E47" s="39" t="s">
        <v>47</v>
      </c>
      <c r="F47" s="40">
        <v>2.5000000000000001E-2</v>
      </c>
    </row>
    <row r="48" spans="1:9" s="4" customFormat="1" ht="30" x14ac:dyDescent="0.25">
      <c r="A48" s="23" t="s">
        <v>1</v>
      </c>
      <c r="B48" s="24" t="s">
        <v>2</v>
      </c>
      <c r="C48" s="26" t="s">
        <v>14</v>
      </c>
      <c r="D48" s="26" t="s">
        <v>9</v>
      </c>
      <c r="E48" s="26" t="s">
        <v>13</v>
      </c>
      <c r="F48" s="27" t="s">
        <v>0</v>
      </c>
      <c r="I48" s="5"/>
    </row>
    <row r="49" spans="1:8" x14ac:dyDescent="0.25">
      <c r="A49" s="8">
        <v>1</v>
      </c>
      <c r="B49" s="75" t="s">
        <v>64</v>
      </c>
      <c r="C49" s="76">
        <v>40000</v>
      </c>
      <c r="D49" s="34">
        <v>4</v>
      </c>
      <c r="E49" s="34">
        <v>100</v>
      </c>
      <c r="F49" s="12">
        <f>$C49*((1+$F$29)^$E49-1)/(((1+$F$29)^D49-1)*(1+$F$29)^$E49)/1000000</f>
        <v>0.35269324497223581</v>
      </c>
      <c r="G49" s="57"/>
      <c r="H49" s="7"/>
    </row>
    <row r="50" spans="1:8" ht="25.5" x14ac:dyDescent="0.25">
      <c r="A50" s="8">
        <v>2</v>
      </c>
      <c r="B50" s="75" t="s">
        <v>78</v>
      </c>
      <c r="C50" s="76">
        <v>3898000</v>
      </c>
      <c r="D50" s="34">
        <v>20</v>
      </c>
      <c r="E50" s="34">
        <v>100</v>
      </c>
      <c r="F50" s="12">
        <f>$C50*((1+$F$29)^$E50-1)/(((1+$F$29)^D50-1)*(1+$F$29)^$E50)/1000000</f>
        <v>5.5871479857314545</v>
      </c>
      <c r="G50" s="57"/>
      <c r="H50" s="7"/>
    </row>
    <row r="51" spans="1:8" ht="25.5" x14ac:dyDescent="0.25">
      <c r="A51" s="8">
        <v>3</v>
      </c>
      <c r="B51" s="77" t="s">
        <v>79</v>
      </c>
      <c r="C51" s="78">
        <v>1789000</v>
      </c>
      <c r="D51" s="79">
        <v>50</v>
      </c>
      <c r="E51" s="34">
        <v>100</v>
      </c>
      <c r="F51" s="80">
        <f>$C51*((1+$F$29)^$E51-1)/(((1+$F$29)^D51-1)*(1+$F$29)^$E51)/1000000</f>
        <v>0.67192975213392203</v>
      </c>
      <c r="G51" s="57"/>
      <c r="H51" s="7"/>
    </row>
    <row r="52" spans="1:8" x14ac:dyDescent="0.25">
      <c r="A52" s="19" t="s">
        <v>6</v>
      </c>
      <c r="B52" s="20"/>
      <c r="C52" s="21"/>
      <c r="D52" s="20"/>
      <c r="E52" s="20"/>
      <c r="F52" s="22">
        <f>SUBTOTAL(9,F49:F51)</f>
        <v>6.6117709828376121</v>
      </c>
      <c r="G52" s="57"/>
      <c r="H52" s="7"/>
    </row>
    <row r="53" spans="1:8" x14ac:dyDescent="0.25">
      <c r="A53" s="16"/>
      <c r="B53" s="13"/>
      <c r="C53" s="17"/>
      <c r="D53" s="13"/>
      <c r="E53" s="13"/>
      <c r="F53" s="18"/>
    </row>
    <row r="54" spans="1:8" s="5" customFormat="1" ht="15" x14ac:dyDescent="0.25">
      <c r="A54" s="50" t="str">
        <f>"Total Estimated Cost (Over " &amp; TEXT(100,"0") &amp; "-Year Period)"</f>
        <v>Total Estimated Cost (Over 100-Year Period)</v>
      </c>
      <c r="B54" s="51"/>
      <c r="C54" s="52"/>
      <c r="D54" s="51"/>
      <c r="E54" s="51"/>
      <c r="F54" s="53">
        <f>SUM(F52:F53)</f>
        <v>6.6117709828376121</v>
      </c>
    </row>
    <row r="55" spans="1:8" s="5" customFormat="1" ht="15" x14ac:dyDescent="0.25">
      <c r="A55" s="50" t="s">
        <v>67</v>
      </c>
      <c r="B55" s="51"/>
      <c r="C55" s="52"/>
      <c r="D55" s="51"/>
      <c r="E55" s="51"/>
      <c r="F55" s="56">
        <f>F54*F47*(1+F47)^100/((1+F47)^100-1)</f>
        <v>0.18057988676981265</v>
      </c>
    </row>
    <row r="56" spans="1:8" x14ac:dyDescent="0.25">
      <c r="A56" s="82" t="s">
        <v>65</v>
      </c>
      <c r="B56" s="82"/>
      <c r="C56" s="82"/>
      <c r="D56" s="82"/>
      <c r="E56" s="82"/>
      <c r="F56" s="82"/>
    </row>
    <row r="57" spans="1:8" x14ac:dyDescent="0.25">
      <c r="A57" s="83"/>
      <c r="B57" s="83"/>
      <c r="C57" s="83"/>
      <c r="D57" s="83"/>
      <c r="E57" s="83"/>
      <c r="F57" s="83"/>
    </row>
  </sheetData>
  <mergeCells count="3">
    <mergeCell ref="E6:F6"/>
    <mergeCell ref="A56:F57"/>
    <mergeCell ref="E7:F7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85" zoomScaleNormal="85" workbookViewId="0">
      <selection activeCell="A21" sqref="A21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40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0.64600000000000002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3.7189999999999999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4.6550000000000002</v>
      </c>
    </row>
    <row r="14" spans="1:7" x14ac:dyDescent="0.25">
      <c r="A14" s="8">
        <v>4</v>
      </c>
      <c r="B14" s="9" t="s">
        <v>44</v>
      </c>
      <c r="C14" s="10"/>
      <c r="D14" s="14"/>
      <c r="E14" s="11"/>
      <c r="F14" s="12">
        <v>0.22800000000000001</v>
      </c>
    </row>
    <row r="15" spans="1:7" x14ac:dyDescent="0.25">
      <c r="A15" s="8">
        <v>5</v>
      </c>
      <c r="B15" s="9" t="s">
        <v>50</v>
      </c>
      <c r="C15" s="10"/>
      <c r="D15" s="14"/>
      <c r="E15" s="11"/>
      <c r="F15" s="12">
        <v>0.91</v>
      </c>
    </row>
    <row r="16" spans="1:7" x14ac:dyDescent="0.25">
      <c r="A16" s="8">
        <v>6</v>
      </c>
      <c r="B16" s="9" t="s">
        <v>20</v>
      </c>
      <c r="C16" s="10"/>
      <c r="D16" s="14"/>
      <c r="E16" s="11"/>
      <c r="F16" s="12">
        <v>0.34699999999999998</v>
      </c>
    </row>
    <row r="17" spans="1:9" s="5" customFormat="1" ht="15" x14ac:dyDescent="0.25">
      <c r="A17" s="8">
        <v>7</v>
      </c>
      <c r="B17" s="9" t="s">
        <v>21</v>
      </c>
      <c r="C17" s="10"/>
      <c r="D17" s="9"/>
      <c r="E17" s="11"/>
      <c r="F17" s="12">
        <v>0.54</v>
      </c>
    </row>
    <row r="18" spans="1:9" x14ac:dyDescent="0.25">
      <c r="A18" s="8">
        <v>8</v>
      </c>
      <c r="B18" s="9" t="s">
        <v>61</v>
      </c>
      <c r="C18" s="10"/>
      <c r="D18" s="14"/>
      <c r="E18" s="11"/>
      <c r="F18" s="12">
        <v>0.81</v>
      </c>
    </row>
    <row r="19" spans="1:9" x14ac:dyDescent="0.25">
      <c r="A19" s="8">
        <v>9</v>
      </c>
      <c r="B19" s="9" t="s">
        <v>22</v>
      </c>
      <c r="C19" s="10"/>
      <c r="D19" s="14"/>
      <c r="E19" s="11"/>
      <c r="F19" s="12">
        <v>2.9000000000000001E-2</v>
      </c>
    </row>
    <row r="20" spans="1:9" s="5" customFormat="1" ht="15" x14ac:dyDescent="0.25">
      <c r="A20" s="8">
        <v>10</v>
      </c>
      <c r="B20" s="9" t="s">
        <v>5</v>
      </c>
      <c r="C20" s="10"/>
      <c r="D20" s="10"/>
      <c r="E20" s="11"/>
      <c r="F20" s="12">
        <v>5.53</v>
      </c>
    </row>
    <row r="21" spans="1:9" x14ac:dyDescent="0.25">
      <c r="A21" s="16" t="s">
        <v>89</v>
      </c>
      <c r="B21" s="13"/>
      <c r="C21" s="17"/>
      <c r="D21" s="13"/>
      <c r="E21" s="13"/>
      <c r="F21" s="18"/>
    </row>
    <row r="22" spans="1:9" s="4" customFormat="1" ht="15" customHeight="1" x14ac:dyDescent="0.25">
      <c r="A22" s="19" t="s">
        <v>6</v>
      </c>
      <c r="B22" s="20"/>
      <c r="C22" s="21"/>
      <c r="D22" s="20"/>
      <c r="E22" s="20"/>
      <c r="F22" s="22">
        <f>SUBTOTAL(9,F11:F21)</f>
        <v>17.413999999999998</v>
      </c>
    </row>
    <row r="23" spans="1:9" s="4" customFormat="1" ht="15.75" x14ac:dyDescent="0.25">
      <c r="A23" s="16"/>
      <c r="B23" s="13"/>
      <c r="C23" s="17"/>
      <c r="D23" s="13"/>
      <c r="E23" s="13"/>
      <c r="F23" s="18"/>
    </row>
    <row r="24" spans="1:9" s="4" customFormat="1" ht="15.75" x14ac:dyDescent="0.25">
      <c r="A24" s="8"/>
      <c r="B24" s="9" t="s">
        <v>23</v>
      </c>
      <c r="C24" s="10"/>
      <c r="D24" s="10"/>
      <c r="E24" s="11"/>
      <c r="F24" s="12">
        <f>F22*0.1</f>
        <v>1.7413999999999998</v>
      </c>
    </row>
    <row r="25" spans="1:9" s="5" customFormat="1" ht="15" x14ac:dyDescent="0.25">
      <c r="A25" s="8"/>
      <c r="B25" s="9" t="s">
        <v>53</v>
      </c>
      <c r="C25" s="10"/>
      <c r="D25" s="9"/>
      <c r="E25" s="9"/>
      <c r="F25" s="12">
        <f>SUM(F22:F24)*0.5</f>
        <v>9.5776999999999983</v>
      </c>
    </row>
    <row r="26" spans="1:9" s="5" customFormat="1" ht="15" x14ac:dyDescent="0.25">
      <c r="A26" s="16"/>
      <c r="B26" s="13"/>
      <c r="C26" s="17"/>
      <c r="D26" s="13"/>
      <c r="E26" s="13"/>
      <c r="F26" s="18"/>
    </row>
    <row r="27" spans="1:9" ht="15" x14ac:dyDescent="0.25">
      <c r="A27" s="50" t="s">
        <v>16</v>
      </c>
      <c r="B27" s="51"/>
      <c r="C27" s="52"/>
      <c r="D27" s="51"/>
      <c r="E27" s="51"/>
      <c r="F27" s="53">
        <f>SUM(F22:F26)</f>
        <v>28.733099999999993</v>
      </c>
    </row>
    <row r="28" spans="1:9" x14ac:dyDescent="0.25">
      <c r="E28" s="6"/>
    </row>
    <row r="29" spans="1:9" ht="15.75" x14ac:dyDescent="0.25">
      <c r="A29" s="35" t="s">
        <v>7</v>
      </c>
      <c r="B29" s="36"/>
      <c r="C29" s="37"/>
      <c r="D29" s="38"/>
      <c r="E29" s="39" t="s">
        <v>47</v>
      </c>
      <c r="F29" s="40">
        <v>2.5000000000000001E-2</v>
      </c>
    </row>
    <row r="30" spans="1:9" s="4" customFormat="1" ht="30" x14ac:dyDescent="0.25">
      <c r="A30" s="23" t="s">
        <v>1</v>
      </c>
      <c r="B30" s="24" t="s">
        <v>2</v>
      </c>
      <c r="C30" s="26" t="s">
        <v>14</v>
      </c>
      <c r="D30" s="26" t="s">
        <v>9</v>
      </c>
      <c r="E30" s="26" t="s">
        <v>13</v>
      </c>
      <c r="F30" s="27" t="s">
        <v>0</v>
      </c>
      <c r="I30" s="5"/>
    </row>
    <row r="31" spans="1:9" s="5" customFormat="1" ht="15" x14ac:dyDescent="0.25">
      <c r="A31" s="8">
        <v>1</v>
      </c>
      <c r="B31" s="9" t="s">
        <v>10</v>
      </c>
      <c r="C31" s="28"/>
      <c r="D31" s="28"/>
      <c r="E31" s="11"/>
      <c r="F31" s="12">
        <f>SUBTOTAL(9,F32:F33)</f>
        <v>1.6340739571739724</v>
      </c>
    </row>
    <row r="32" spans="1:9" x14ac:dyDescent="0.25">
      <c r="A32" s="29">
        <f>A31+0.1</f>
        <v>1.1000000000000001</v>
      </c>
      <c r="B32" s="13" t="s">
        <v>8</v>
      </c>
      <c r="C32" s="30">
        <v>15000</v>
      </c>
      <c r="D32" s="31">
        <v>1</v>
      </c>
      <c r="E32" s="31">
        <v>100</v>
      </c>
      <c r="F32" s="32">
        <f>$C32*((1+$F$29)^$E32-1)/(((1+$F$29)^D32-1)*(1+$F$29)^$E32)/1000000</f>
        <v>0.54921157896718642</v>
      </c>
      <c r="H32" s="7"/>
    </row>
    <row r="33" spans="1:8" x14ac:dyDescent="0.25">
      <c r="A33" s="29">
        <f>A32+0.1</f>
        <v>1.2000000000000002</v>
      </c>
      <c r="B33" s="13" t="s">
        <v>11</v>
      </c>
      <c r="C33" s="30">
        <v>60000</v>
      </c>
      <c r="D33" s="31">
        <v>2</v>
      </c>
      <c r="E33" s="31">
        <v>100</v>
      </c>
      <c r="F33" s="32">
        <f>$C33*((1+$F$29)^$E33-1)/(((1+$F$29)^D33-1)*(1+$F$29)^$E33)/1000000</f>
        <v>1.0848623782067861</v>
      </c>
      <c r="H33" s="7"/>
    </row>
    <row r="34" spans="1:8" x14ac:dyDescent="0.25">
      <c r="A34" s="19" t="s">
        <v>6</v>
      </c>
      <c r="B34" s="20"/>
      <c r="C34" s="21"/>
      <c r="D34" s="20"/>
      <c r="E34" s="20"/>
      <c r="F34" s="22">
        <f>SUBTOTAL(9,F31:F33)</f>
        <v>1.6340739571739724</v>
      </c>
      <c r="G34" s="57"/>
      <c r="H34" s="7"/>
    </row>
    <row r="35" spans="1:8" x14ac:dyDescent="0.25">
      <c r="A35" s="16"/>
      <c r="B35" s="13"/>
      <c r="C35" s="17"/>
      <c r="D35" s="13"/>
      <c r="E35" s="13"/>
      <c r="F35" s="18"/>
    </row>
    <row r="36" spans="1:8" s="5" customFormat="1" ht="15" x14ac:dyDescent="0.25">
      <c r="A36" s="50" t="str">
        <f>"Total Estimated Operational Costs (Over " &amp; TEXT(100,"0") &amp; "-Year Period)"</f>
        <v>Total Estimated Operational Costs (Over 100-Year Period)</v>
      </c>
      <c r="B36" s="51"/>
      <c r="C36" s="52"/>
      <c r="D36" s="51"/>
      <c r="E36" s="51"/>
      <c r="F36" s="53">
        <f>SUM(F34:F35)</f>
        <v>1.6340739571739724</v>
      </c>
    </row>
    <row r="37" spans="1:8" s="5" customFormat="1" ht="15" x14ac:dyDescent="0.25">
      <c r="A37" s="50" t="s">
        <v>34</v>
      </c>
      <c r="B37" s="51"/>
      <c r="C37" s="52"/>
      <c r="D37" s="51"/>
      <c r="E37" s="51"/>
      <c r="F37" s="56">
        <f>F36*F29*(1+F29)^100/((1+F29)^100-1)</f>
        <v>4.4629629629629734E-2</v>
      </c>
    </row>
    <row r="39" spans="1:8" s="5" customFormat="1" ht="15.75" x14ac:dyDescent="0.25">
      <c r="A39" s="35" t="str">
        <f>"Total Estimated Lifecycle Costs (Over " &amp; TEXT(100,"0") &amp; "-Year Period)"</f>
        <v>Total Estimated Lifecycle Costs (Over 100-Year Period)</v>
      </c>
      <c r="B39" s="43"/>
      <c r="C39" s="44"/>
      <c r="D39" s="43"/>
      <c r="E39" s="43"/>
      <c r="F39" s="45">
        <f>F27+F36</f>
        <v>30.367173957173964</v>
      </c>
    </row>
    <row r="40" spans="1:8" x14ac:dyDescent="0.25">
      <c r="A40" s="82" t="s">
        <v>66</v>
      </c>
      <c r="B40" s="82"/>
      <c r="C40" s="82"/>
      <c r="D40" s="82"/>
      <c r="E40" s="82"/>
      <c r="F40" s="82"/>
    </row>
    <row r="41" spans="1:8" s="4" customFormat="1" ht="15.75" x14ac:dyDescent="0.25">
      <c r="A41" s="83"/>
      <c r="B41" s="83"/>
      <c r="C41" s="83"/>
      <c r="D41" s="83"/>
      <c r="E41" s="83"/>
      <c r="F41" s="83"/>
      <c r="G41" s="57"/>
    </row>
    <row r="42" spans="1:8" x14ac:dyDescent="0.25">
      <c r="C42" s="54"/>
    </row>
    <row r="43" spans="1:8" x14ac:dyDescent="0.25">
      <c r="C43" s="54"/>
    </row>
  </sheetData>
  <mergeCells count="3">
    <mergeCell ref="E6:F6"/>
    <mergeCell ref="A40:F41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85" zoomScaleNormal="85" workbookViewId="0">
      <selection activeCell="A21" sqref="A21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710937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59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0.64600000000000002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3.7189999999999999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5.15</v>
      </c>
    </row>
    <row r="14" spans="1:7" x14ac:dyDescent="0.25">
      <c r="A14" s="8">
        <v>4</v>
      </c>
      <c r="B14" s="9" t="s">
        <v>44</v>
      </c>
      <c r="C14" s="10"/>
      <c r="D14" s="14"/>
      <c r="E14" s="11"/>
      <c r="F14" s="12">
        <v>0.22800000000000001</v>
      </c>
    </row>
    <row r="15" spans="1:7" x14ac:dyDescent="0.25">
      <c r="A15" s="8">
        <v>5</v>
      </c>
      <c r="B15" s="9" t="s">
        <v>50</v>
      </c>
      <c r="C15" s="10"/>
      <c r="D15" s="14"/>
      <c r="E15" s="11"/>
      <c r="F15" s="12">
        <v>0.91</v>
      </c>
    </row>
    <row r="16" spans="1:7" x14ac:dyDescent="0.25">
      <c r="A16" s="8">
        <v>6</v>
      </c>
      <c r="B16" s="9" t="s">
        <v>20</v>
      </c>
      <c r="C16" s="10"/>
      <c r="D16" s="14"/>
      <c r="E16" s="11"/>
      <c r="F16" s="12">
        <v>0.33</v>
      </c>
    </row>
    <row r="17" spans="1:9" s="5" customFormat="1" ht="15" x14ac:dyDescent="0.25">
      <c r="A17" s="8">
        <v>7</v>
      </c>
      <c r="B17" s="9" t="s">
        <v>21</v>
      </c>
      <c r="C17" s="10"/>
      <c r="D17" s="9"/>
      <c r="E17" s="11"/>
      <c r="F17" s="12">
        <v>0.54</v>
      </c>
    </row>
    <row r="18" spans="1:9" x14ac:dyDescent="0.25">
      <c r="A18" s="8">
        <v>8</v>
      </c>
      <c r="B18" s="9" t="s">
        <v>61</v>
      </c>
      <c r="C18" s="10"/>
      <c r="D18" s="14"/>
      <c r="E18" s="11"/>
      <c r="F18" s="12">
        <v>0.80200000000000005</v>
      </c>
    </row>
    <row r="19" spans="1:9" x14ac:dyDescent="0.25">
      <c r="A19" s="8">
        <v>9</v>
      </c>
      <c r="B19" s="9" t="s">
        <v>22</v>
      </c>
      <c r="C19" s="10"/>
      <c r="D19" s="14"/>
      <c r="E19" s="11"/>
      <c r="F19" s="12">
        <v>2.9000000000000001E-2</v>
      </c>
    </row>
    <row r="20" spans="1:9" s="5" customFormat="1" ht="15" x14ac:dyDescent="0.25">
      <c r="A20" s="8">
        <v>10</v>
      </c>
      <c r="B20" s="9" t="s">
        <v>5</v>
      </c>
      <c r="C20" s="10"/>
      <c r="D20" s="10"/>
      <c r="E20" s="11"/>
      <c r="F20" s="12">
        <v>5.8049999999999997</v>
      </c>
    </row>
    <row r="21" spans="1:9" x14ac:dyDescent="0.25">
      <c r="A21" s="16" t="s">
        <v>90</v>
      </c>
      <c r="B21" s="13"/>
      <c r="C21" s="17"/>
      <c r="D21" s="13"/>
      <c r="E21" s="13"/>
      <c r="F21" s="18"/>
    </row>
    <row r="22" spans="1:9" s="4" customFormat="1" ht="15" customHeight="1" x14ac:dyDescent="0.25">
      <c r="A22" s="19" t="s">
        <v>6</v>
      </c>
      <c r="B22" s="20"/>
      <c r="C22" s="21"/>
      <c r="D22" s="20"/>
      <c r="E22" s="20"/>
      <c r="F22" s="22">
        <f>SUBTOTAL(9,F11:F21)</f>
        <v>18.158999999999999</v>
      </c>
    </row>
    <row r="23" spans="1:9" s="4" customFormat="1" ht="15.75" x14ac:dyDescent="0.25">
      <c r="A23" s="16"/>
      <c r="B23" s="13"/>
      <c r="C23" s="17"/>
      <c r="D23" s="13"/>
      <c r="E23" s="13"/>
      <c r="F23" s="18"/>
    </row>
    <row r="24" spans="1:9" s="4" customFormat="1" ht="15.75" x14ac:dyDescent="0.25">
      <c r="A24" s="8"/>
      <c r="B24" s="9" t="s">
        <v>23</v>
      </c>
      <c r="C24" s="10"/>
      <c r="D24" s="10"/>
      <c r="E24" s="11"/>
      <c r="F24" s="12">
        <f>F22*0.1</f>
        <v>1.8159000000000001</v>
      </c>
    </row>
    <row r="25" spans="1:9" s="5" customFormat="1" ht="15" x14ac:dyDescent="0.25">
      <c r="A25" s="8"/>
      <c r="B25" s="9" t="s">
        <v>45</v>
      </c>
      <c r="C25" s="10"/>
      <c r="D25" s="9"/>
      <c r="E25" s="9"/>
      <c r="F25" s="12">
        <f>SUM(F22:F24)*0.25</f>
        <v>4.9937249999999995</v>
      </c>
    </row>
    <row r="26" spans="1:9" s="5" customFormat="1" ht="15" x14ac:dyDescent="0.25">
      <c r="A26" s="16"/>
      <c r="B26" s="13"/>
      <c r="C26" s="17"/>
      <c r="D26" s="13"/>
      <c r="E26" s="13"/>
      <c r="F26" s="18"/>
    </row>
    <row r="27" spans="1:9" ht="15" x14ac:dyDescent="0.25">
      <c r="A27" s="50" t="s">
        <v>16</v>
      </c>
      <c r="B27" s="51"/>
      <c r="C27" s="52"/>
      <c r="D27" s="51"/>
      <c r="E27" s="51"/>
      <c r="F27" s="53">
        <f>SUM(F22:F26)</f>
        <v>24.968624999999996</v>
      </c>
    </row>
    <row r="28" spans="1:9" x14ac:dyDescent="0.25">
      <c r="A28" s="72"/>
      <c r="B28" s="72"/>
      <c r="C28" s="73"/>
      <c r="D28" s="72"/>
      <c r="E28" s="74"/>
      <c r="F28" s="72"/>
    </row>
    <row r="29" spans="1:9" ht="15.75" x14ac:dyDescent="0.25">
      <c r="A29" s="35" t="s">
        <v>7</v>
      </c>
      <c r="B29" s="36"/>
      <c r="C29" s="37"/>
      <c r="D29" s="38"/>
      <c r="E29" s="39" t="s">
        <v>47</v>
      </c>
      <c r="F29" s="40">
        <v>2.5000000000000001E-2</v>
      </c>
    </row>
    <row r="30" spans="1:9" s="4" customFormat="1" ht="30" x14ac:dyDescent="0.25">
      <c r="A30" s="23" t="s">
        <v>1</v>
      </c>
      <c r="B30" s="24" t="s">
        <v>2</v>
      </c>
      <c r="C30" s="26" t="s">
        <v>14</v>
      </c>
      <c r="D30" s="26" t="s">
        <v>9</v>
      </c>
      <c r="E30" s="26" t="s">
        <v>13</v>
      </c>
      <c r="F30" s="27" t="s">
        <v>0</v>
      </c>
      <c r="I30" s="5"/>
    </row>
    <row r="31" spans="1:9" s="5" customFormat="1" ht="15" x14ac:dyDescent="0.25">
      <c r="A31" s="8">
        <v>1</v>
      </c>
      <c r="B31" s="9" t="s">
        <v>10</v>
      </c>
      <c r="C31" s="28"/>
      <c r="D31" s="28"/>
      <c r="E31" s="11"/>
      <c r="F31" s="12">
        <f>SUBTOTAL(9,F32:F33)</f>
        <v>1.6340739571739724</v>
      </c>
    </row>
    <row r="32" spans="1:9" x14ac:dyDescent="0.25">
      <c r="A32" s="29">
        <f>A31+0.1</f>
        <v>1.1000000000000001</v>
      </c>
      <c r="B32" s="13" t="s">
        <v>8</v>
      </c>
      <c r="C32" s="30">
        <v>15000</v>
      </c>
      <c r="D32" s="31">
        <v>1</v>
      </c>
      <c r="E32" s="31">
        <v>100</v>
      </c>
      <c r="F32" s="32">
        <f>$C32*((1+$F$29)^$E32-1)/(((1+$F$29)^D32-1)*(1+$F$29)^$E32)/1000000</f>
        <v>0.54921157896718642</v>
      </c>
      <c r="H32" s="7"/>
    </row>
    <row r="33" spans="1:8" x14ac:dyDescent="0.25">
      <c r="A33" s="29">
        <f>A32+0.1</f>
        <v>1.2000000000000002</v>
      </c>
      <c r="B33" s="13" t="s">
        <v>11</v>
      </c>
      <c r="C33" s="30">
        <v>60000</v>
      </c>
      <c r="D33" s="31">
        <v>2</v>
      </c>
      <c r="E33" s="31">
        <v>100</v>
      </c>
      <c r="F33" s="32">
        <f>$C33*((1+$F$29)^$E33-1)/(((1+$F$29)^D33-1)*(1+$F$29)^$E33)/1000000</f>
        <v>1.0848623782067861</v>
      </c>
      <c r="H33" s="7"/>
    </row>
    <row r="34" spans="1:8" x14ac:dyDescent="0.25">
      <c r="A34" s="19" t="s">
        <v>6</v>
      </c>
      <c r="B34" s="20"/>
      <c r="C34" s="21"/>
      <c r="D34" s="20"/>
      <c r="E34" s="20"/>
      <c r="F34" s="22">
        <f>SUBTOTAL(9,F31:F33)</f>
        <v>1.6340739571739724</v>
      </c>
      <c r="G34" s="57"/>
      <c r="H34" s="7"/>
    </row>
    <row r="35" spans="1:8" x14ac:dyDescent="0.25">
      <c r="A35" s="16"/>
      <c r="B35" s="13"/>
      <c r="C35" s="17"/>
      <c r="D35" s="13"/>
      <c r="E35" s="13"/>
      <c r="F35" s="18"/>
    </row>
    <row r="36" spans="1:8" s="5" customFormat="1" ht="15" x14ac:dyDescent="0.25">
      <c r="A36" s="50" t="str">
        <f>"Total Estimated Operational Costs (Over " &amp; TEXT(100,"0") &amp; "-Year Period)"</f>
        <v>Total Estimated Operational Costs (Over 100-Year Period)</v>
      </c>
      <c r="B36" s="51"/>
      <c r="C36" s="52"/>
      <c r="D36" s="51"/>
      <c r="E36" s="51"/>
      <c r="F36" s="53">
        <f>SUM(F34:F35)</f>
        <v>1.6340739571739724</v>
      </c>
    </row>
    <row r="37" spans="1:8" s="5" customFormat="1" ht="15" x14ac:dyDescent="0.25">
      <c r="A37" s="50" t="s">
        <v>34</v>
      </c>
      <c r="B37" s="51"/>
      <c r="C37" s="52"/>
      <c r="D37" s="51"/>
      <c r="E37" s="51"/>
      <c r="F37" s="56">
        <f>F36*F29*(1+F29)^100/((1+F29)^100-1)</f>
        <v>4.4629629629629734E-2</v>
      </c>
    </row>
    <row r="39" spans="1:8" s="5" customFormat="1" ht="15.75" x14ac:dyDescent="0.25">
      <c r="A39" s="35" t="str">
        <f>"Total Estimated Lifecycle Costs (Over " &amp; TEXT(100,"0") &amp; "-Year Period)"</f>
        <v>Total Estimated Lifecycle Costs (Over 100-Year Period)</v>
      </c>
      <c r="B39" s="43"/>
      <c r="C39" s="44"/>
      <c r="D39" s="43"/>
      <c r="E39" s="43"/>
      <c r="F39" s="45">
        <f>F27+F36</f>
        <v>26.602698957173967</v>
      </c>
    </row>
    <row r="40" spans="1:8" x14ac:dyDescent="0.25">
      <c r="A40" s="82" t="s">
        <v>66</v>
      </c>
      <c r="B40" s="82"/>
      <c r="C40" s="82"/>
      <c r="D40" s="82"/>
      <c r="E40" s="82"/>
      <c r="F40" s="82"/>
    </row>
    <row r="41" spans="1:8" s="4" customFormat="1" ht="15.75" x14ac:dyDescent="0.25">
      <c r="A41" s="83"/>
      <c r="B41" s="83"/>
      <c r="C41" s="83"/>
      <c r="D41" s="83"/>
      <c r="E41" s="83"/>
      <c r="F41" s="83"/>
      <c r="G41" s="57"/>
    </row>
    <row r="42" spans="1:8" x14ac:dyDescent="0.25">
      <c r="C42" s="54"/>
    </row>
    <row r="43" spans="1:8" x14ac:dyDescent="0.25">
      <c r="C43" s="54"/>
    </row>
  </sheetData>
  <mergeCells count="3">
    <mergeCell ref="E6:F6"/>
    <mergeCell ref="A40:F41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60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0.64600000000000002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3.72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5.15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0.24</v>
      </c>
    </row>
    <row r="15" spans="1:7" s="5" customFormat="1" ht="15" x14ac:dyDescent="0.25">
      <c r="A15" s="8">
        <v>5</v>
      </c>
      <c r="B15" s="9" t="s">
        <v>18</v>
      </c>
      <c r="C15" s="10"/>
      <c r="D15" s="14"/>
      <c r="E15" s="11"/>
      <c r="F15" s="12">
        <v>0.82799999999999996</v>
      </c>
    </row>
    <row r="16" spans="1:7" x14ac:dyDescent="0.25">
      <c r="A16" s="8">
        <v>6</v>
      </c>
      <c r="B16" s="9" t="s">
        <v>50</v>
      </c>
      <c r="C16" s="10"/>
      <c r="D16" s="14"/>
      <c r="E16" s="11"/>
      <c r="F16" s="12">
        <v>0.91</v>
      </c>
    </row>
    <row r="17" spans="1:9" x14ac:dyDescent="0.25">
      <c r="A17" s="8">
        <v>7</v>
      </c>
      <c r="B17" s="9" t="s">
        <v>20</v>
      </c>
      <c r="C17" s="10"/>
      <c r="D17" s="14"/>
      <c r="E17" s="11"/>
      <c r="F17" s="12">
        <v>0.34699999999999998</v>
      </c>
    </row>
    <row r="18" spans="1:9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0.54</v>
      </c>
    </row>
    <row r="19" spans="1:9" x14ac:dyDescent="0.25">
      <c r="A19" s="8">
        <v>9</v>
      </c>
      <c r="B19" s="9" t="s">
        <v>61</v>
      </c>
      <c r="C19" s="10"/>
      <c r="D19" s="14"/>
      <c r="E19" s="11"/>
      <c r="F19" s="12">
        <v>0.80800000000000005</v>
      </c>
    </row>
    <row r="20" spans="1:9" x14ac:dyDescent="0.25">
      <c r="A20" s="8">
        <v>10</v>
      </c>
      <c r="B20" s="9" t="s">
        <v>22</v>
      </c>
      <c r="C20" s="10"/>
      <c r="D20" s="14"/>
      <c r="E20" s="11"/>
      <c r="F20" s="12">
        <v>0.03</v>
      </c>
    </row>
    <row r="21" spans="1:9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6.585</v>
      </c>
    </row>
    <row r="22" spans="1:9" x14ac:dyDescent="0.25">
      <c r="A22" s="16" t="s">
        <v>91</v>
      </c>
      <c r="B22" s="13"/>
      <c r="C22" s="17"/>
      <c r="D22" s="13"/>
      <c r="E22" s="13"/>
      <c r="F22" s="18"/>
    </row>
    <row r="23" spans="1:9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19.803999999999998</v>
      </c>
    </row>
    <row r="24" spans="1:9" s="4" customFormat="1" ht="15.75" x14ac:dyDescent="0.25">
      <c r="A24" s="16"/>
      <c r="B24" s="13"/>
      <c r="C24" s="17"/>
      <c r="D24" s="13"/>
      <c r="E24" s="13"/>
      <c r="F24" s="18"/>
    </row>
    <row r="25" spans="1:9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1.9803999999999999</v>
      </c>
    </row>
    <row r="26" spans="1:9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5.4460999999999995</v>
      </c>
    </row>
    <row r="27" spans="1:9" s="5" customFormat="1" ht="15" x14ac:dyDescent="0.25">
      <c r="A27" s="16"/>
      <c r="B27" s="13"/>
      <c r="C27" s="17"/>
      <c r="D27" s="13"/>
      <c r="E27" s="13"/>
      <c r="F27" s="18"/>
    </row>
    <row r="28" spans="1:9" ht="15" x14ac:dyDescent="0.25">
      <c r="A28" s="50" t="s">
        <v>16</v>
      </c>
      <c r="B28" s="51"/>
      <c r="C28" s="52"/>
      <c r="D28" s="51"/>
      <c r="E28" s="51"/>
      <c r="F28" s="53">
        <f>SUM(F23:F27)</f>
        <v>27.230499999999999</v>
      </c>
    </row>
    <row r="29" spans="1:9" x14ac:dyDescent="0.25">
      <c r="A29" s="72"/>
      <c r="B29" s="72"/>
      <c r="C29" s="73"/>
      <c r="D29" s="72"/>
      <c r="E29" s="74"/>
      <c r="F29" s="72"/>
    </row>
    <row r="30" spans="1:9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9" s="4" customFormat="1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  <c r="I31" s="5"/>
    </row>
    <row r="32" spans="1:9" s="5" customFormat="1" ht="15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8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  <c r="H33" s="7"/>
    </row>
    <row r="34" spans="1:8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  <c r="H34" s="7"/>
    </row>
    <row r="35" spans="1:8" x14ac:dyDescent="0.25">
      <c r="A35" s="19" t="s">
        <v>6</v>
      </c>
      <c r="B35" s="20"/>
      <c r="C35" s="21"/>
      <c r="D35" s="20"/>
      <c r="E35" s="20"/>
      <c r="F35" s="22">
        <f>SUBTOTAL(9,F32:F34)</f>
        <v>1.6340739571739724</v>
      </c>
      <c r="G35" s="57"/>
      <c r="H35" s="7"/>
    </row>
    <row r="36" spans="1:8" x14ac:dyDescent="0.25">
      <c r="A36" s="16"/>
      <c r="B36" s="13"/>
      <c r="C36" s="17"/>
      <c r="D36" s="13"/>
      <c r="E36" s="13"/>
      <c r="F36" s="18"/>
    </row>
    <row r="37" spans="1:8" s="5" customFormat="1" ht="15" x14ac:dyDescent="0.25">
      <c r="A37" s="50" t="str">
        <f>"Total Estimated Operational Costs (Over " &amp; TEXT(100,"0") &amp; "-Year Period)"</f>
        <v>Total Estimated Operational Costs (Over 100-Year Period)</v>
      </c>
      <c r="B37" s="51"/>
      <c r="C37" s="52"/>
      <c r="D37" s="51"/>
      <c r="E37" s="51"/>
      <c r="F37" s="53">
        <f>SUM(F35:F36)</f>
        <v>1.6340739571739724</v>
      </c>
    </row>
    <row r="38" spans="1:8" s="5" customFormat="1" ht="15" x14ac:dyDescent="0.25">
      <c r="A38" s="50" t="s">
        <v>34</v>
      </c>
      <c r="B38" s="51"/>
      <c r="C38" s="52"/>
      <c r="D38" s="51"/>
      <c r="E38" s="51"/>
      <c r="F38" s="56">
        <f>F37*F30*(1+F30)^100/((1+F30)^100-1)</f>
        <v>4.4629629629629734E-2</v>
      </c>
    </row>
    <row r="40" spans="1:8" s="5" customFormat="1" ht="15.75" x14ac:dyDescent="0.25">
      <c r="A40" s="35" t="str">
        <f>"Total Estimated Lifecycle Costs (Over " &amp; TEXT(100,"0") &amp; "-Year Period)"</f>
        <v>Total Estimated Lifecycle Costs (Over 100-Year Period)</v>
      </c>
      <c r="B40" s="43"/>
      <c r="C40" s="44"/>
      <c r="D40" s="43"/>
      <c r="E40" s="43"/>
      <c r="F40" s="45">
        <f>F28+F37</f>
        <v>28.86457395717397</v>
      </c>
    </row>
    <row r="41" spans="1:8" x14ac:dyDescent="0.25">
      <c r="A41" s="82" t="s">
        <v>66</v>
      </c>
      <c r="B41" s="82"/>
      <c r="C41" s="82"/>
      <c r="D41" s="82"/>
      <c r="E41" s="82"/>
      <c r="F41" s="82"/>
    </row>
    <row r="42" spans="1:8" x14ac:dyDescent="0.25">
      <c r="A42" s="83"/>
      <c r="B42" s="83"/>
      <c r="C42" s="83"/>
      <c r="D42" s="83"/>
      <c r="E42" s="83"/>
      <c r="F42" s="83"/>
    </row>
  </sheetData>
  <mergeCells count="3">
    <mergeCell ref="E6:F6"/>
    <mergeCell ref="A41:F42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85" zoomScaleNormal="85" workbookViewId="0">
      <selection activeCell="A21" sqref="A21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41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1.0489999999999999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3.6139999999999999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46.55</v>
      </c>
    </row>
    <row r="14" spans="1:7" s="5" customFormat="1" ht="15" x14ac:dyDescent="0.25">
      <c r="A14" s="8">
        <v>4</v>
      </c>
      <c r="B14" s="9" t="s">
        <v>18</v>
      </c>
      <c r="C14" s="10"/>
      <c r="D14" s="14"/>
      <c r="E14" s="11"/>
      <c r="F14" s="12">
        <v>1.4</v>
      </c>
    </row>
    <row r="15" spans="1:7" x14ac:dyDescent="0.25">
      <c r="A15" s="8">
        <v>5</v>
      </c>
      <c r="B15" s="9" t="s">
        <v>50</v>
      </c>
      <c r="C15" s="10"/>
      <c r="D15" s="14"/>
      <c r="E15" s="11"/>
      <c r="F15" s="12">
        <v>1.84</v>
      </c>
    </row>
    <row r="16" spans="1:7" x14ac:dyDescent="0.25">
      <c r="A16" s="8">
        <v>6</v>
      </c>
      <c r="B16" s="9" t="s">
        <v>20</v>
      </c>
      <c r="C16" s="10"/>
      <c r="D16" s="14"/>
      <c r="E16" s="11"/>
      <c r="F16" s="12">
        <v>0.68</v>
      </c>
    </row>
    <row r="17" spans="1:9" s="5" customFormat="1" ht="15" x14ac:dyDescent="0.25">
      <c r="A17" s="8">
        <v>7</v>
      </c>
      <c r="B17" s="9" t="s">
        <v>21</v>
      </c>
      <c r="C17" s="10"/>
      <c r="D17" s="9"/>
      <c r="E17" s="11"/>
      <c r="F17" s="12">
        <v>0.54</v>
      </c>
    </row>
    <row r="18" spans="1:9" x14ac:dyDescent="0.25">
      <c r="A18" s="8">
        <v>8</v>
      </c>
      <c r="B18" s="9" t="s">
        <v>61</v>
      </c>
      <c r="C18" s="10"/>
      <c r="D18" s="14"/>
      <c r="E18" s="11"/>
      <c r="F18" s="12">
        <v>0.88</v>
      </c>
    </row>
    <row r="19" spans="1:9" x14ac:dyDescent="0.25">
      <c r="A19" s="8">
        <v>9</v>
      </c>
      <c r="B19" s="9" t="s">
        <v>22</v>
      </c>
      <c r="C19" s="10"/>
      <c r="D19" s="14"/>
      <c r="E19" s="11"/>
      <c r="F19" s="12">
        <v>0.35199999999999998</v>
      </c>
    </row>
    <row r="20" spans="1:9" s="5" customFormat="1" ht="15" x14ac:dyDescent="0.25">
      <c r="A20" s="8">
        <v>10</v>
      </c>
      <c r="B20" s="9" t="s">
        <v>5</v>
      </c>
      <c r="C20" s="10"/>
      <c r="D20" s="10"/>
      <c r="E20" s="11"/>
      <c r="F20" s="12">
        <v>17.55</v>
      </c>
    </row>
    <row r="21" spans="1:9" x14ac:dyDescent="0.25">
      <c r="A21" s="16" t="s">
        <v>92</v>
      </c>
      <c r="B21" s="13"/>
      <c r="C21" s="17"/>
      <c r="D21" s="13"/>
      <c r="E21" s="13"/>
      <c r="F21" s="18"/>
    </row>
    <row r="22" spans="1:9" s="4" customFormat="1" ht="15" customHeight="1" x14ac:dyDescent="0.25">
      <c r="A22" s="19" t="s">
        <v>6</v>
      </c>
      <c r="B22" s="20"/>
      <c r="C22" s="21"/>
      <c r="D22" s="20"/>
      <c r="E22" s="20"/>
      <c r="F22" s="22">
        <f>SUBTOTAL(9,F11:F21)</f>
        <v>74.454999999999998</v>
      </c>
    </row>
    <row r="23" spans="1:9" s="4" customFormat="1" ht="15.75" x14ac:dyDescent="0.25">
      <c r="A23" s="16"/>
      <c r="B23" s="13"/>
      <c r="C23" s="17"/>
      <c r="D23" s="13"/>
      <c r="E23" s="13"/>
      <c r="F23" s="18"/>
    </row>
    <row r="24" spans="1:9" s="4" customFormat="1" ht="15.75" x14ac:dyDescent="0.25">
      <c r="A24" s="8"/>
      <c r="B24" s="9" t="s">
        <v>23</v>
      </c>
      <c r="C24" s="10"/>
      <c r="D24" s="10"/>
      <c r="E24" s="11"/>
      <c r="F24" s="12">
        <f>F22*0.1</f>
        <v>7.4455</v>
      </c>
    </row>
    <row r="25" spans="1:9" s="5" customFormat="1" ht="15" x14ac:dyDescent="0.25">
      <c r="A25" s="8"/>
      <c r="B25" s="9" t="s">
        <v>45</v>
      </c>
      <c r="C25" s="10"/>
      <c r="D25" s="9"/>
      <c r="E25" s="9"/>
      <c r="F25" s="12">
        <f>SUM(F22:F24)*0.25</f>
        <v>20.475124999999998</v>
      </c>
    </row>
    <row r="26" spans="1:9" s="5" customFormat="1" ht="15" x14ac:dyDescent="0.25">
      <c r="A26" s="16"/>
      <c r="B26" s="13"/>
      <c r="C26" s="17"/>
      <c r="D26" s="13"/>
      <c r="E26" s="13"/>
      <c r="F26" s="18"/>
    </row>
    <row r="27" spans="1:9" ht="15" x14ac:dyDescent="0.25">
      <c r="A27" s="50" t="s">
        <v>16</v>
      </c>
      <c r="B27" s="51"/>
      <c r="C27" s="52"/>
      <c r="D27" s="51"/>
      <c r="E27" s="51"/>
      <c r="F27" s="53">
        <f>SUM(F22:F26)</f>
        <v>102.37562499999999</v>
      </c>
    </row>
    <row r="28" spans="1:9" x14ac:dyDescent="0.25">
      <c r="E28" s="6"/>
    </row>
    <row r="29" spans="1:9" ht="15.75" x14ac:dyDescent="0.25">
      <c r="A29" s="35" t="s">
        <v>7</v>
      </c>
      <c r="B29" s="36"/>
      <c r="C29" s="37"/>
      <c r="D29" s="38"/>
      <c r="E29" s="39" t="s">
        <v>47</v>
      </c>
      <c r="F29" s="40">
        <v>2.5000000000000001E-2</v>
      </c>
    </row>
    <row r="30" spans="1:9" s="4" customFormat="1" ht="30" x14ac:dyDescent="0.25">
      <c r="A30" s="23" t="s">
        <v>1</v>
      </c>
      <c r="B30" s="24" t="s">
        <v>2</v>
      </c>
      <c r="C30" s="26" t="s">
        <v>14</v>
      </c>
      <c r="D30" s="26" t="s">
        <v>9</v>
      </c>
      <c r="E30" s="26" t="s">
        <v>13</v>
      </c>
      <c r="F30" s="27" t="s">
        <v>0</v>
      </c>
      <c r="I30" s="5"/>
    </row>
    <row r="31" spans="1:9" s="5" customFormat="1" ht="15" x14ac:dyDescent="0.25">
      <c r="A31" s="8">
        <v>1</v>
      </c>
      <c r="B31" s="9" t="s">
        <v>10</v>
      </c>
      <c r="C31" s="28"/>
      <c r="D31" s="28"/>
      <c r="E31" s="11"/>
      <c r="F31" s="12">
        <f>SUBTOTAL(9,F32:F33)</f>
        <v>0.6891587100435046</v>
      </c>
    </row>
    <row r="32" spans="1:9" x14ac:dyDescent="0.25">
      <c r="A32" s="29">
        <f>A31+0.1</f>
        <v>1.1000000000000001</v>
      </c>
      <c r="B32" s="13" t="s">
        <v>8</v>
      </c>
      <c r="C32" s="30">
        <v>15000</v>
      </c>
      <c r="D32" s="31">
        <v>2</v>
      </c>
      <c r="E32" s="31">
        <v>100</v>
      </c>
      <c r="F32" s="32">
        <f>$C32*((1+$F$29)^$E32-1)/(((1+$F$29)^D32-1)*(1+$F$29)^$E32)/1000000</f>
        <v>0.27121559455169653</v>
      </c>
      <c r="H32" s="7"/>
    </row>
    <row r="33" spans="1:8" x14ac:dyDescent="0.25">
      <c r="A33" s="29">
        <f>A32+0.1</f>
        <v>1.2000000000000002</v>
      </c>
      <c r="B33" s="13" t="s">
        <v>11</v>
      </c>
      <c r="C33" s="30">
        <v>60000</v>
      </c>
      <c r="D33" s="31">
        <v>5</v>
      </c>
      <c r="E33" s="31">
        <v>100</v>
      </c>
      <c r="F33" s="32">
        <f>$C33*((1+$F$29)^$E33-1)/(((1+$F$29)^D33-1)*(1+$F$29)^$E33)/1000000</f>
        <v>0.41794311549180813</v>
      </c>
      <c r="H33" s="7"/>
    </row>
    <row r="34" spans="1:8" x14ac:dyDescent="0.25">
      <c r="A34" s="19" t="s">
        <v>6</v>
      </c>
      <c r="B34" s="20"/>
      <c r="C34" s="21"/>
      <c r="D34" s="20"/>
      <c r="E34" s="20"/>
      <c r="F34" s="22">
        <f>SUBTOTAL(9,F31:F33)</f>
        <v>0.6891587100435046</v>
      </c>
      <c r="G34" s="57"/>
      <c r="H34" s="7"/>
    </row>
    <row r="35" spans="1:8" x14ac:dyDescent="0.25">
      <c r="A35" s="16"/>
      <c r="B35" s="13"/>
      <c r="C35" s="17"/>
      <c r="D35" s="13"/>
      <c r="E35" s="13"/>
      <c r="F35" s="18"/>
    </row>
    <row r="36" spans="1:8" s="5" customFormat="1" ht="15" x14ac:dyDescent="0.25">
      <c r="A36" s="50" t="str">
        <f>"Total Estimated Operational Costs (Over " &amp; TEXT(100,"0") &amp; "-Year Period)"</f>
        <v>Total Estimated Operational Costs (Over 100-Year Period)</v>
      </c>
      <c r="B36" s="51"/>
      <c r="C36" s="52"/>
      <c r="D36" s="51"/>
      <c r="E36" s="51"/>
      <c r="F36" s="53">
        <f>SUM(F34:F35)</f>
        <v>0.6891587100435046</v>
      </c>
    </row>
    <row r="37" spans="1:8" s="5" customFormat="1" ht="15" x14ac:dyDescent="0.25">
      <c r="A37" s="50" t="s">
        <v>34</v>
      </c>
      <c r="B37" s="51"/>
      <c r="C37" s="52"/>
      <c r="D37" s="51"/>
      <c r="E37" s="51"/>
      <c r="F37" s="56">
        <f>F36*F29*(1+F29)^100/((1+F29)^100-1)</f>
        <v>1.8822219061900423E-2</v>
      </c>
    </row>
    <row r="39" spans="1:8" s="5" customFormat="1" ht="15.75" x14ac:dyDescent="0.25">
      <c r="A39" s="35" t="str">
        <f>"Total Estimated Lifecycle Costs (Over " &amp; TEXT(100,"0") &amp; "-Year Period)"</f>
        <v>Total Estimated Lifecycle Costs (Over 100-Year Period)</v>
      </c>
      <c r="B39" s="43"/>
      <c r="C39" s="44"/>
      <c r="D39" s="43"/>
      <c r="E39" s="43"/>
      <c r="F39" s="45">
        <f>F27+F36</f>
        <v>103.06478371004349</v>
      </c>
    </row>
    <row r="40" spans="1:8" x14ac:dyDescent="0.25">
      <c r="A40" s="82" t="s">
        <v>66</v>
      </c>
      <c r="B40" s="82"/>
      <c r="C40" s="82"/>
      <c r="D40" s="82"/>
      <c r="E40" s="82"/>
      <c r="F40" s="82"/>
    </row>
    <row r="41" spans="1:8" s="4" customFormat="1" ht="15.75" x14ac:dyDescent="0.25">
      <c r="A41" s="83"/>
      <c r="B41" s="83"/>
      <c r="C41" s="83"/>
      <c r="D41" s="83"/>
      <c r="E41" s="83"/>
      <c r="F41" s="83"/>
      <c r="G41" s="57"/>
    </row>
    <row r="42" spans="1:8" x14ac:dyDescent="0.25">
      <c r="C42" s="54"/>
    </row>
    <row r="43" spans="1:8" x14ac:dyDescent="0.25">
      <c r="C43" s="54"/>
    </row>
  </sheetData>
  <mergeCells count="3">
    <mergeCell ref="E6:F6"/>
    <mergeCell ref="A40:F41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42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0.24299999999999999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3.61</v>
      </c>
    </row>
    <row r="13" spans="1:7" s="5" customFormat="1" ht="15" x14ac:dyDescent="0.25">
      <c r="A13" s="8">
        <v>3</v>
      </c>
      <c r="B13" s="9" t="s">
        <v>35</v>
      </c>
      <c r="C13" s="10"/>
      <c r="D13" s="14"/>
      <c r="E13" s="11"/>
      <c r="F13" s="12">
        <v>0.86499999999999999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0.158</v>
      </c>
    </row>
    <row r="15" spans="1:7" s="5" customFormat="1" ht="15" x14ac:dyDescent="0.25">
      <c r="A15" s="8">
        <v>5</v>
      </c>
      <c r="B15" s="9" t="s">
        <v>18</v>
      </c>
      <c r="C15" s="10"/>
      <c r="D15" s="14"/>
      <c r="E15" s="11"/>
      <c r="F15" s="12">
        <v>1.2549999999999999</v>
      </c>
    </row>
    <row r="16" spans="1:7" s="5" customFormat="1" ht="15" x14ac:dyDescent="0.25">
      <c r="A16" s="8">
        <v>6</v>
      </c>
      <c r="B16" s="9" t="s">
        <v>50</v>
      </c>
      <c r="C16" s="10"/>
      <c r="D16" s="14"/>
      <c r="E16" s="11"/>
      <c r="F16" s="12">
        <v>0.90800000000000003</v>
      </c>
    </row>
    <row r="17" spans="1:9" x14ac:dyDescent="0.25">
      <c r="A17" s="8">
        <v>7</v>
      </c>
      <c r="B17" s="9" t="s">
        <v>20</v>
      </c>
      <c r="C17" s="10"/>
      <c r="D17" s="14"/>
      <c r="E17" s="11"/>
      <c r="F17" s="12">
        <v>0.16300000000000001</v>
      </c>
    </row>
    <row r="18" spans="1:9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0.54</v>
      </c>
    </row>
    <row r="19" spans="1:9" x14ac:dyDescent="0.25">
      <c r="A19" s="8">
        <v>9</v>
      </c>
      <c r="B19" s="9" t="s">
        <v>61</v>
      </c>
      <c r="C19" s="10"/>
      <c r="D19" s="14"/>
      <c r="E19" s="11"/>
      <c r="F19" s="12">
        <v>0.77</v>
      </c>
    </row>
    <row r="20" spans="1:9" x14ac:dyDescent="0.25">
      <c r="A20" s="8">
        <v>10</v>
      </c>
      <c r="B20" s="9" t="s">
        <v>22</v>
      </c>
      <c r="C20" s="10"/>
      <c r="D20" s="14"/>
      <c r="E20" s="11"/>
      <c r="F20" s="12">
        <v>8.0000000000000002E-3</v>
      </c>
    </row>
    <row r="21" spans="1:9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3.58</v>
      </c>
    </row>
    <row r="22" spans="1:9" x14ac:dyDescent="0.25">
      <c r="A22" s="16" t="s">
        <v>93</v>
      </c>
      <c r="B22" s="13"/>
      <c r="C22" s="17"/>
      <c r="D22" s="13"/>
      <c r="E22" s="13"/>
      <c r="F22" s="18"/>
    </row>
    <row r="23" spans="1:9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12.1</v>
      </c>
    </row>
    <row r="24" spans="1:9" s="4" customFormat="1" ht="15.75" x14ac:dyDescent="0.25">
      <c r="A24" s="16"/>
      <c r="B24" s="13"/>
      <c r="C24" s="17"/>
      <c r="D24" s="13"/>
      <c r="E24" s="13"/>
      <c r="F24" s="18"/>
    </row>
    <row r="25" spans="1:9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1.21</v>
      </c>
    </row>
    <row r="26" spans="1:9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3.3274999999999997</v>
      </c>
    </row>
    <row r="27" spans="1:9" s="5" customFormat="1" ht="15" x14ac:dyDescent="0.25">
      <c r="A27" s="16"/>
      <c r="B27" s="13"/>
      <c r="C27" s="17"/>
      <c r="D27" s="13"/>
      <c r="E27" s="13"/>
      <c r="F27" s="18"/>
    </row>
    <row r="28" spans="1:9" ht="15" x14ac:dyDescent="0.25">
      <c r="A28" s="50" t="s">
        <v>16</v>
      </c>
      <c r="B28" s="51"/>
      <c r="C28" s="52"/>
      <c r="D28" s="51"/>
      <c r="E28" s="51"/>
      <c r="F28" s="53">
        <f>SUM(F23:F27)</f>
        <v>16.637499999999999</v>
      </c>
    </row>
    <row r="29" spans="1:9" x14ac:dyDescent="0.25">
      <c r="E29" s="6"/>
    </row>
    <row r="30" spans="1:9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9" s="4" customFormat="1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  <c r="I31" s="5"/>
    </row>
    <row r="32" spans="1:9" s="5" customFormat="1" ht="15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8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  <c r="H33" s="7"/>
    </row>
    <row r="34" spans="1:8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  <c r="H34" s="7"/>
    </row>
    <row r="35" spans="1:8" s="5" customFormat="1" ht="15" x14ac:dyDescent="0.25">
      <c r="A35" s="63">
        <v>2</v>
      </c>
      <c r="B35" s="64" t="s">
        <v>12</v>
      </c>
      <c r="C35" s="65"/>
      <c r="D35" s="66"/>
      <c r="E35" s="66"/>
      <c r="F35" s="67">
        <f>SUBTOTAL(9,F36)</f>
        <v>8.5678338675820651</v>
      </c>
    </row>
    <row r="36" spans="1:8" ht="51" x14ac:dyDescent="0.25">
      <c r="A36" s="68">
        <f>A35+0.1</f>
        <v>2.1</v>
      </c>
      <c r="B36" s="69" t="s">
        <v>74</v>
      </c>
      <c r="C36" s="30">
        <v>1230000</v>
      </c>
      <c r="D36" s="70">
        <v>5</v>
      </c>
      <c r="E36" s="31">
        <v>100</v>
      </c>
      <c r="F36" s="71">
        <f>$C36*((1+$F$30)^$E36-1)/(((1+$F$30)^D36-1)*(1+$F$30)^$E36)/1000000</f>
        <v>8.5678338675820651</v>
      </c>
      <c r="G36" s="57"/>
      <c r="H36" s="7"/>
    </row>
    <row r="37" spans="1:8" s="5" customFormat="1" ht="15" x14ac:dyDescent="0.25">
      <c r="A37" s="63">
        <v>3</v>
      </c>
      <c r="B37" s="64" t="s">
        <v>24</v>
      </c>
      <c r="C37" s="65"/>
      <c r="D37" s="66"/>
      <c r="E37" s="66"/>
      <c r="F37" s="67">
        <f>SUBTOTAL(9,F38:F39)</f>
        <v>14.700223070405148</v>
      </c>
    </row>
    <row r="38" spans="1:8" ht="25.5" x14ac:dyDescent="0.25">
      <c r="A38" s="29">
        <f>A37+0.1</f>
        <v>3.1</v>
      </c>
      <c r="B38" s="15" t="s">
        <v>69</v>
      </c>
      <c r="C38" s="30">
        <v>1246000</v>
      </c>
      <c r="D38" s="62">
        <f>2/4*15</f>
        <v>7.5</v>
      </c>
      <c r="E38" s="31">
        <v>100</v>
      </c>
      <c r="F38" s="32">
        <f>$C38*((1+$F$30)^$E38-1)/(((1+$F$30)^D38-1)*(1+$F$30)^$E38)/1000000</f>
        <v>5.6058726450015746</v>
      </c>
    </row>
    <row r="39" spans="1:8" ht="25.5" x14ac:dyDescent="0.25">
      <c r="A39" s="29">
        <f>A38+0.1</f>
        <v>3.2</v>
      </c>
      <c r="B39" s="69" t="s">
        <v>75</v>
      </c>
      <c r="C39" s="30">
        <v>4454000</v>
      </c>
      <c r="D39" s="70">
        <f>15</f>
        <v>15</v>
      </c>
      <c r="E39" s="31">
        <v>100</v>
      </c>
      <c r="F39" s="71">
        <f>$C39*((1+$F$30)^$E39-1)/(((1+$F$30)^D39-1)*(1+$F$30)^$E39)/1000000</f>
        <v>9.0943504254035723</v>
      </c>
      <c r="G39" s="57"/>
      <c r="H39" s="7"/>
    </row>
    <row r="40" spans="1:8" x14ac:dyDescent="0.25">
      <c r="A40" s="19" t="s">
        <v>6</v>
      </c>
      <c r="B40" s="20"/>
      <c r="C40" s="21"/>
      <c r="D40" s="20"/>
      <c r="E40" s="20"/>
      <c r="F40" s="22">
        <f>SUBTOTAL(9,F32:F39)</f>
        <v>24.902130895161186</v>
      </c>
      <c r="G40" s="57"/>
      <c r="H40" s="7"/>
    </row>
    <row r="41" spans="1:8" x14ac:dyDescent="0.25">
      <c r="A41" s="16"/>
      <c r="B41" s="13"/>
      <c r="C41" s="17"/>
      <c r="D41" s="13"/>
      <c r="E41" s="13"/>
      <c r="F41" s="18"/>
    </row>
    <row r="42" spans="1:8" s="5" customFormat="1" ht="15" x14ac:dyDescent="0.25">
      <c r="A42" s="50" t="str">
        <f>"Total Estimated Operational Costs (Over " &amp; TEXT(100,"0") &amp; "-Year Period)"</f>
        <v>Total Estimated Operational Costs (Over 100-Year Period)</v>
      </c>
      <c r="B42" s="51"/>
      <c r="C42" s="52"/>
      <c r="D42" s="51"/>
      <c r="E42" s="51"/>
      <c r="F42" s="53">
        <f>SUM(F40:F41)</f>
        <v>24.902130895161186</v>
      </c>
    </row>
    <row r="43" spans="1:8" s="5" customFormat="1" ht="15" x14ac:dyDescent="0.25">
      <c r="A43" s="50" t="s">
        <v>34</v>
      </c>
      <c r="B43" s="51"/>
      <c r="C43" s="52"/>
      <c r="D43" s="51"/>
      <c r="E43" s="51"/>
      <c r="F43" s="56">
        <f>F42*F30*(1+F30)^100/((1+F30)^100-1)</f>
        <v>0.68012397722906781</v>
      </c>
    </row>
    <row r="45" spans="1:8" s="5" customFormat="1" ht="15.75" x14ac:dyDescent="0.25">
      <c r="A45" s="35" t="str">
        <f>"Total Estimated Lifecycle Costs (Over " &amp; TEXT(100,"0") &amp; "-Year Period)"</f>
        <v>Total Estimated Lifecycle Costs (Over 100-Year Period)</v>
      </c>
      <c r="B45" s="43"/>
      <c r="C45" s="44"/>
      <c r="D45" s="43"/>
      <c r="E45" s="43"/>
      <c r="F45" s="45">
        <f>F28+F42</f>
        <v>41.539630895161181</v>
      </c>
    </row>
    <row r="47" spans="1:8" s="4" customFormat="1" ht="15.75" x14ac:dyDescent="0.25">
      <c r="A47" s="1"/>
      <c r="B47" s="1"/>
      <c r="C47" s="1"/>
      <c r="D47" s="1"/>
      <c r="E47" s="1"/>
      <c r="F47" s="1"/>
      <c r="G47" s="57"/>
    </row>
    <row r="48" spans="1:8" ht="15.75" x14ac:dyDescent="0.25">
      <c r="A48" s="35" t="s">
        <v>56</v>
      </c>
      <c r="B48" s="36"/>
      <c r="C48" s="37"/>
      <c r="D48" s="38"/>
      <c r="E48" s="39" t="s">
        <v>47</v>
      </c>
      <c r="F48" s="40">
        <v>2.5000000000000001E-2</v>
      </c>
    </row>
    <row r="49" spans="1:8" s="5" customFormat="1" ht="30" x14ac:dyDescent="0.25">
      <c r="A49" s="23" t="s">
        <v>1</v>
      </c>
      <c r="B49" s="24" t="s">
        <v>2</v>
      </c>
      <c r="C49" s="26" t="s">
        <v>14</v>
      </c>
      <c r="D49" s="26" t="s">
        <v>9</v>
      </c>
      <c r="E49" s="26" t="s">
        <v>13</v>
      </c>
      <c r="F49" s="27" t="s">
        <v>0</v>
      </c>
    </row>
    <row r="50" spans="1:8" x14ac:dyDescent="0.25">
      <c r="A50" s="8">
        <v>1</v>
      </c>
      <c r="B50" s="75" t="s">
        <v>64</v>
      </c>
      <c r="C50" s="76">
        <v>40000</v>
      </c>
      <c r="D50" s="34">
        <v>4</v>
      </c>
      <c r="E50" s="34">
        <v>100</v>
      </c>
      <c r="F50" s="12">
        <f>$C50*((1+$F$30)^$E50-1)/(((1+$F$30)^D50-1)*(1+$F$30)^$E50)/1000000</f>
        <v>0.35269324497223581</v>
      </c>
      <c r="G50" s="57"/>
      <c r="H50" s="7"/>
    </row>
    <row r="51" spans="1:8" ht="25.5" x14ac:dyDescent="0.25">
      <c r="A51" s="8">
        <v>2</v>
      </c>
      <c r="B51" s="75" t="s">
        <v>78</v>
      </c>
      <c r="C51" s="76">
        <v>3898000</v>
      </c>
      <c r="D51" s="34">
        <v>20</v>
      </c>
      <c r="E51" s="34">
        <v>100</v>
      </c>
      <c r="F51" s="12">
        <f t="shared" ref="F51:F52" si="0">$C51*((1+$F$30)^$E51-1)/(((1+$F$30)^D51-1)*(1+$F$30)^$E51)/1000000</f>
        <v>5.5871479857314545</v>
      </c>
      <c r="G51" s="57"/>
      <c r="H51" s="7"/>
    </row>
    <row r="52" spans="1:8" ht="25.5" x14ac:dyDescent="0.25">
      <c r="A52" s="8">
        <v>3</v>
      </c>
      <c r="B52" s="77" t="s">
        <v>79</v>
      </c>
      <c r="C52" s="78">
        <v>1789000</v>
      </c>
      <c r="D52" s="79">
        <v>50</v>
      </c>
      <c r="E52" s="34">
        <v>100</v>
      </c>
      <c r="F52" s="12">
        <f t="shared" si="0"/>
        <v>0.67192975213392203</v>
      </c>
      <c r="G52" s="57"/>
      <c r="H52" s="7"/>
    </row>
    <row r="53" spans="1:8" x14ac:dyDescent="0.25">
      <c r="A53" s="19" t="s">
        <v>6</v>
      </c>
      <c r="B53" s="20"/>
      <c r="C53" s="21"/>
      <c r="D53" s="20"/>
      <c r="E53" s="20"/>
      <c r="F53" s="22">
        <f>SUBTOTAL(9,F50:F52)</f>
        <v>6.6117709828376121</v>
      </c>
      <c r="G53" s="57"/>
      <c r="H53" s="7"/>
    </row>
    <row r="54" spans="1:8" x14ac:dyDescent="0.25">
      <c r="A54" s="16"/>
      <c r="B54" s="13"/>
      <c r="C54" s="17"/>
      <c r="D54" s="13"/>
      <c r="E54" s="13"/>
      <c r="F54" s="18"/>
    </row>
    <row r="55" spans="1:8" s="5" customFormat="1" ht="15" x14ac:dyDescent="0.25">
      <c r="A55" s="50" t="str">
        <f>"Total Estimated Cost (Over " &amp; TEXT(100,"0") &amp; "-Year Period)"</f>
        <v>Total Estimated Cost (Over 100-Year Period)</v>
      </c>
      <c r="B55" s="51"/>
      <c r="C55" s="52"/>
      <c r="D55" s="51"/>
      <c r="E55" s="51"/>
      <c r="F55" s="53">
        <f>SUM(F53:F54)</f>
        <v>6.6117709828376121</v>
      </c>
    </row>
    <row r="56" spans="1:8" s="5" customFormat="1" ht="15" x14ac:dyDescent="0.25">
      <c r="A56" s="50" t="s">
        <v>67</v>
      </c>
      <c r="B56" s="51"/>
      <c r="C56" s="52"/>
      <c r="D56" s="51"/>
      <c r="E56" s="51"/>
      <c r="F56" s="56">
        <f>F55*F48*(1+F48)^100/((1+F48)^100-1)</f>
        <v>0.18057988676981265</v>
      </c>
    </row>
    <row r="57" spans="1:8" x14ac:dyDescent="0.25">
      <c r="A57" s="82" t="s">
        <v>65</v>
      </c>
      <c r="B57" s="82"/>
      <c r="C57" s="82"/>
      <c r="D57" s="82"/>
      <c r="E57" s="82"/>
      <c r="F57" s="82"/>
    </row>
    <row r="58" spans="1:8" x14ac:dyDescent="0.25">
      <c r="A58" s="83"/>
      <c r="B58" s="83"/>
      <c r="C58" s="83"/>
      <c r="D58" s="83"/>
      <c r="E58" s="83"/>
      <c r="F58" s="83"/>
    </row>
    <row r="60" spans="1:8" s="4" customFormat="1" ht="15.75" x14ac:dyDescent="0.25">
      <c r="A60" s="1"/>
      <c r="B60" s="1"/>
      <c r="C60" s="1"/>
      <c r="D60" s="1"/>
      <c r="E60" s="1"/>
      <c r="F60" s="1"/>
      <c r="G60" s="57"/>
    </row>
    <row r="61" spans="1:8" x14ac:dyDescent="0.25">
      <c r="C61" s="54"/>
    </row>
    <row r="62" spans="1:8" x14ac:dyDescent="0.25">
      <c r="C62" s="54"/>
    </row>
  </sheetData>
  <mergeCells count="3">
    <mergeCell ref="E6:F6"/>
    <mergeCell ref="A57:F58"/>
    <mergeCell ref="E7:F7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43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0.66400000000000003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3.6309999999999998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2.2130000000000001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0.16</v>
      </c>
    </row>
    <row r="15" spans="1:7" s="5" customFormat="1" ht="15" x14ac:dyDescent="0.25">
      <c r="A15" s="8">
        <v>5</v>
      </c>
      <c r="B15" s="9" t="s">
        <v>18</v>
      </c>
      <c r="C15" s="10"/>
      <c r="D15" s="14"/>
      <c r="E15" s="11"/>
      <c r="F15" s="12">
        <v>1.2549999999999999</v>
      </c>
    </row>
    <row r="16" spans="1:7" s="5" customFormat="1" ht="15" x14ac:dyDescent="0.25">
      <c r="A16" s="8">
        <v>6</v>
      </c>
      <c r="B16" s="9" t="s">
        <v>50</v>
      </c>
      <c r="C16" s="10"/>
      <c r="D16" s="14"/>
      <c r="E16" s="11"/>
      <c r="F16" s="12">
        <v>0.90800000000000003</v>
      </c>
    </row>
    <row r="17" spans="1:9" x14ac:dyDescent="0.25">
      <c r="A17" s="8">
        <v>7</v>
      </c>
      <c r="B17" s="9" t="s">
        <v>20</v>
      </c>
      <c r="C17" s="10"/>
      <c r="D17" s="14"/>
      <c r="E17" s="11"/>
      <c r="F17" s="12">
        <v>0.27300000000000002</v>
      </c>
    </row>
    <row r="18" spans="1:9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0.54</v>
      </c>
    </row>
    <row r="19" spans="1:9" x14ac:dyDescent="0.25">
      <c r="A19" s="8">
        <v>9</v>
      </c>
      <c r="B19" s="9" t="s">
        <v>61</v>
      </c>
      <c r="C19" s="10"/>
      <c r="D19" s="14"/>
      <c r="E19" s="11"/>
      <c r="F19" s="12">
        <v>0.79800000000000004</v>
      </c>
    </row>
    <row r="20" spans="1:9" x14ac:dyDescent="0.25">
      <c r="A20" s="8">
        <v>10</v>
      </c>
      <c r="B20" s="9" t="s">
        <v>22</v>
      </c>
      <c r="C20" s="10"/>
      <c r="D20" s="14"/>
      <c r="E20" s="11"/>
      <c r="F20" s="12">
        <v>1.7000000000000001E-2</v>
      </c>
    </row>
    <row r="21" spans="1:9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4.8979999999999997</v>
      </c>
    </row>
    <row r="22" spans="1:9" x14ac:dyDescent="0.25">
      <c r="A22" s="16" t="s">
        <v>94</v>
      </c>
      <c r="B22" s="13"/>
      <c r="C22" s="17"/>
      <c r="D22" s="13"/>
      <c r="E22" s="13"/>
      <c r="F22" s="18"/>
    </row>
    <row r="23" spans="1:9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15.356999999999998</v>
      </c>
    </row>
    <row r="24" spans="1:9" s="4" customFormat="1" ht="15.75" x14ac:dyDescent="0.25">
      <c r="A24" s="16"/>
      <c r="B24" s="13"/>
      <c r="C24" s="17"/>
      <c r="D24" s="13"/>
      <c r="E24" s="13"/>
      <c r="F24" s="18"/>
    </row>
    <row r="25" spans="1:9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1.5356999999999998</v>
      </c>
    </row>
    <row r="26" spans="1:9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4.2231749999999995</v>
      </c>
    </row>
    <row r="27" spans="1:9" s="5" customFormat="1" ht="15" x14ac:dyDescent="0.25">
      <c r="A27" s="16"/>
      <c r="B27" s="13"/>
      <c r="C27" s="17"/>
      <c r="D27" s="13"/>
      <c r="E27" s="13"/>
      <c r="F27" s="18"/>
    </row>
    <row r="28" spans="1:9" ht="15" x14ac:dyDescent="0.25">
      <c r="A28" s="50" t="s">
        <v>16</v>
      </c>
      <c r="B28" s="51"/>
      <c r="C28" s="52"/>
      <c r="D28" s="51"/>
      <c r="E28" s="51"/>
      <c r="F28" s="53">
        <f>SUM(F23:F27)</f>
        <v>21.115874999999996</v>
      </c>
    </row>
    <row r="29" spans="1:9" x14ac:dyDescent="0.25">
      <c r="E29" s="6"/>
    </row>
    <row r="30" spans="1:9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9" s="4" customFormat="1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  <c r="I31" s="5"/>
    </row>
    <row r="32" spans="1:9" s="5" customFormat="1" ht="15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8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  <c r="H33" s="7"/>
    </row>
    <row r="34" spans="1:8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  <c r="H34" s="7"/>
    </row>
    <row r="35" spans="1:8" s="5" customFormat="1" ht="15" x14ac:dyDescent="0.25">
      <c r="A35" s="63">
        <v>2</v>
      </c>
      <c r="B35" s="64" t="s">
        <v>12</v>
      </c>
      <c r="C35" s="65"/>
      <c r="D35" s="66"/>
      <c r="E35" s="66"/>
      <c r="F35" s="67">
        <f>SUBTOTAL(9,F36)</f>
        <v>8.5678338675820651</v>
      </c>
    </row>
    <row r="36" spans="1:8" ht="51" x14ac:dyDescent="0.25">
      <c r="A36" s="68">
        <f>A35+0.1</f>
        <v>2.1</v>
      </c>
      <c r="B36" s="69" t="s">
        <v>74</v>
      </c>
      <c r="C36" s="30">
        <v>1230000</v>
      </c>
      <c r="D36" s="70">
        <v>5</v>
      </c>
      <c r="E36" s="31">
        <v>100</v>
      </c>
      <c r="F36" s="71">
        <f>$C36*((1+$F$30)^$E36-1)/(((1+$F$30)^D36-1)*(1+$F$30)^$E36)/1000000</f>
        <v>8.5678338675820651</v>
      </c>
      <c r="G36" s="57"/>
      <c r="H36" s="7"/>
    </row>
    <row r="37" spans="1:8" s="5" customFormat="1" ht="15" x14ac:dyDescent="0.25">
      <c r="A37" s="63">
        <v>3</v>
      </c>
      <c r="B37" s="64" t="s">
        <v>24</v>
      </c>
      <c r="C37" s="65"/>
      <c r="D37" s="66"/>
      <c r="E37" s="66"/>
      <c r="F37" s="67">
        <f>SUBTOTAL(9,F38:F39)</f>
        <v>7.9284468788535802</v>
      </c>
    </row>
    <row r="38" spans="1:8" ht="25.5" x14ac:dyDescent="0.25">
      <c r="A38" s="29">
        <f>A37+0.1</f>
        <v>3.1</v>
      </c>
      <c r="B38" s="15" t="s">
        <v>69</v>
      </c>
      <c r="C38" s="30">
        <v>1246000</v>
      </c>
      <c r="D38" s="62">
        <f>2/4*25</f>
        <v>12.5</v>
      </c>
      <c r="E38" s="31">
        <v>100</v>
      </c>
      <c r="F38" s="32">
        <f>$C38*((1+$F$30)^$E38-1)/(((1+$F$30)^D38-1)*(1+$F$30)^$E38)/1000000</f>
        <v>3.1541523679947696</v>
      </c>
    </row>
    <row r="39" spans="1:8" ht="25.5" x14ac:dyDescent="0.25">
      <c r="A39" s="29">
        <f>A38+0.1</f>
        <v>3.2</v>
      </c>
      <c r="B39" s="69" t="s">
        <v>75</v>
      </c>
      <c r="C39" s="30">
        <v>4454000</v>
      </c>
      <c r="D39" s="70">
        <v>25</v>
      </c>
      <c r="E39" s="31">
        <v>100</v>
      </c>
      <c r="F39" s="71">
        <f>$C39*((1+$F$30)^$E39-1)/(((1+$F$30)^D39-1)*(1+$F$30)^$E39)/1000000</f>
        <v>4.7742945108588106</v>
      </c>
      <c r="G39" s="57"/>
      <c r="H39" s="7"/>
    </row>
    <row r="40" spans="1:8" x14ac:dyDescent="0.25">
      <c r="A40" s="19" t="s">
        <v>6</v>
      </c>
      <c r="B40" s="20"/>
      <c r="C40" s="21"/>
      <c r="D40" s="20"/>
      <c r="E40" s="20"/>
      <c r="F40" s="22">
        <f>SUBTOTAL(9,F32:F39)</f>
        <v>18.130354703609619</v>
      </c>
      <c r="G40" s="57"/>
      <c r="H40" s="7"/>
    </row>
    <row r="41" spans="1:8" x14ac:dyDescent="0.25">
      <c r="A41" s="16"/>
      <c r="B41" s="13"/>
      <c r="C41" s="17"/>
      <c r="D41" s="13"/>
      <c r="E41" s="13"/>
      <c r="F41" s="18"/>
    </row>
    <row r="42" spans="1:8" s="5" customFormat="1" ht="15" x14ac:dyDescent="0.25">
      <c r="A42" s="50" t="str">
        <f>"Total Estimated Operational Costs (Over " &amp; TEXT(100,"0") &amp; "-Year Period)"</f>
        <v>Total Estimated Operational Costs (Over 100-Year Period)</v>
      </c>
      <c r="B42" s="51"/>
      <c r="C42" s="52"/>
      <c r="D42" s="51"/>
      <c r="E42" s="51"/>
      <c r="F42" s="53">
        <f>SUM(F40:F41)</f>
        <v>18.130354703609619</v>
      </c>
    </row>
    <row r="43" spans="1:8" s="5" customFormat="1" ht="15" x14ac:dyDescent="0.25">
      <c r="A43" s="50" t="s">
        <v>34</v>
      </c>
      <c r="B43" s="51"/>
      <c r="C43" s="52"/>
      <c r="D43" s="51"/>
      <c r="E43" s="51"/>
      <c r="F43" s="56">
        <f>F42*F30*(1+F30)^100/((1+F30)^100-1)</f>
        <v>0.4951740476148877</v>
      </c>
    </row>
    <row r="45" spans="1:8" s="5" customFormat="1" ht="15.75" x14ac:dyDescent="0.25">
      <c r="A45" s="35" t="str">
        <f>"Total Estimated Lifecycle Costs (Over " &amp; TEXT(100,"0") &amp; "-Year Period)"</f>
        <v>Total Estimated Lifecycle Costs (Over 100-Year Period)</v>
      </c>
      <c r="B45" s="43"/>
      <c r="C45" s="44"/>
      <c r="D45" s="43"/>
      <c r="E45" s="43"/>
      <c r="F45" s="45">
        <f>F28+F42</f>
        <v>39.246229703609615</v>
      </c>
    </row>
    <row r="47" spans="1:8" s="4" customFormat="1" ht="15.75" x14ac:dyDescent="0.25">
      <c r="A47" s="1"/>
      <c r="B47" s="1"/>
      <c r="C47" s="1"/>
      <c r="D47" s="1"/>
      <c r="E47" s="1"/>
      <c r="F47" s="1"/>
      <c r="G47" s="57"/>
    </row>
    <row r="48" spans="1:8" ht="15.75" x14ac:dyDescent="0.25">
      <c r="A48" s="35" t="s">
        <v>56</v>
      </c>
      <c r="B48" s="36"/>
      <c r="C48" s="37"/>
      <c r="D48" s="38"/>
      <c r="E48" s="39" t="s">
        <v>47</v>
      </c>
      <c r="F48" s="40">
        <v>2.5000000000000001E-2</v>
      </c>
    </row>
    <row r="49" spans="1:8" s="5" customFormat="1" ht="30" x14ac:dyDescent="0.25">
      <c r="A49" s="23" t="s">
        <v>1</v>
      </c>
      <c r="B49" s="24" t="s">
        <v>2</v>
      </c>
      <c r="C49" s="26" t="s">
        <v>14</v>
      </c>
      <c r="D49" s="26" t="s">
        <v>9</v>
      </c>
      <c r="E49" s="26" t="s">
        <v>13</v>
      </c>
      <c r="F49" s="27" t="s">
        <v>0</v>
      </c>
    </row>
    <row r="50" spans="1:8" x14ac:dyDescent="0.25">
      <c r="A50" s="8">
        <v>1</v>
      </c>
      <c r="B50" s="75" t="s">
        <v>64</v>
      </c>
      <c r="C50" s="76">
        <v>40000</v>
      </c>
      <c r="D50" s="34">
        <v>4</v>
      </c>
      <c r="E50" s="34">
        <v>100</v>
      </c>
      <c r="F50" s="12">
        <f>$C50*((1+$F$30)^$E50-1)/(((1+$F$30)^D50-1)*(1+$F$30)^$E50)/1000000</f>
        <v>0.35269324497223581</v>
      </c>
      <c r="G50" s="57"/>
      <c r="H50" s="7"/>
    </row>
    <row r="51" spans="1:8" ht="25.5" x14ac:dyDescent="0.25">
      <c r="A51" s="8">
        <v>2</v>
      </c>
      <c r="B51" s="75" t="s">
        <v>78</v>
      </c>
      <c r="C51" s="76">
        <v>3898000</v>
      </c>
      <c r="D51" s="34">
        <v>20</v>
      </c>
      <c r="E51" s="34">
        <v>100</v>
      </c>
      <c r="F51" s="12">
        <f t="shared" ref="F51:F52" si="0">$C51*((1+$F$30)^$E51-1)/(((1+$F$30)^D51-1)*(1+$F$30)^$E51)/1000000</f>
        <v>5.5871479857314545</v>
      </c>
      <c r="G51" s="57"/>
      <c r="H51" s="7"/>
    </row>
    <row r="52" spans="1:8" ht="25.5" x14ac:dyDescent="0.25">
      <c r="A52" s="8">
        <v>3</v>
      </c>
      <c r="B52" s="77" t="s">
        <v>79</v>
      </c>
      <c r="C52" s="78">
        <v>1789000</v>
      </c>
      <c r="D52" s="79">
        <v>50</v>
      </c>
      <c r="E52" s="34">
        <v>100</v>
      </c>
      <c r="F52" s="12">
        <f t="shared" si="0"/>
        <v>0.67192975213392203</v>
      </c>
      <c r="G52" s="57"/>
      <c r="H52" s="7"/>
    </row>
    <row r="53" spans="1:8" x14ac:dyDescent="0.25">
      <c r="A53" s="19" t="s">
        <v>6</v>
      </c>
      <c r="B53" s="20"/>
      <c r="C53" s="21"/>
      <c r="D53" s="20"/>
      <c r="E53" s="20"/>
      <c r="F53" s="22">
        <f>SUBTOTAL(9,F50:F52)</f>
        <v>6.6117709828376121</v>
      </c>
      <c r="G53" s="57"/>
      <c r="H53" s="7"/>
    </row>
    <row r="54" spans="1:8" x14ac:dyDescent="0.25">
      <c r="A54" s="16"/>
      <c r="B54" s="13"/>
      <c r="C54" s="17"/>
      <c r="D54" s="13"/>
      <c r="E54" s="13"/>
      <c r="F54" s="18"/>
    </row>
    <row r="55" spans="1:8" s="5" customFormat="1" ht="15" x14ac:dyDescent="0.25">
      <c r="A55" s="50" t="str">
        <f>"Total Estimated Cost (Over " &amp; TEXT(100,"0") &amp; "-Year Period)"</f>
        <v>Total Estimated Cost (Over 100-Year Period)</v>
      </c>
      <c r="B55" s="51"/>
      <c r="C55" s="52"/>
      <c r="D55" s="51"/>
      <c r="E55" s="51"/>
      <c r="F55" s="53">
        <f>SUM(F53:F54)</f>
        <v>6.6117709828376121</v>
      </c>
    </row>
    <row r="56" spans="1:8" s="5" customFormat="1" ht="15" x14ac:dyDescent="0.25">
      <c r="A56" s="50" t="s">
        <v>67</v>
      </c>
      <c r="B56" s="51"/>
      <c r="C56" s="52"/>
      <c r="D56" s="51"/>
      <c r="E56" s="51"/>
      <c r="F56" s="56">
        <f>F55*F48*(1+F48)^100/((1+F48)^100-1)</f>
        <v>0.18057988676981265</v>
      </c>
    </row>
    <row r="57" spans="1:8" x14ac:dyDescent="0.25">
      <c r="A57" s="82" t="s">
        <v>65</v>
      </c>
      <c r="B57" s="82"/>
      <c r="C57" s="82"/>
      <c r="D57" s="82"/>
      <c r="E57" s="82"/>
      <c r="F57" s="82"/>
    </row>
    <row r="58" spans="1:8" x14ac:dyDescent="0.25">
      <c r="A58" s="83"/>
      <c r="B58" s="83"/>
      <c r="C58" s="83"/>
      <c r="D58" s="83"/>
      <c r="E58" s="83"/>
      <c r="F58" s="83"/>
    </row>
    <row r="60" spans="1:8" s="4" customFormat="1" ht="15.75" x14ac:dyDescent="0.25">
      <c r="A60" s="1"/>
      <c r="B60" s="1"/>
      <c r="C60" s="1"/>
      <c r="D60" s="1"/>
      <c r="E60" s="1"/>
      <c r="F60" s="1"/>
      <c r="G60" s="57"/>
    </row>
    <row r="61" spans="1:8" x14ac:dyDescent="0.25">
      <c r="C61" s="54"/>
    </row>
    <row r="62" spans="1:8" x14ac:dyDescent="0.25">
      <c r="C62" s="54"/>
    </row>
  </sheetData>
  <mergeCells count="3">
    <mergeCell ref="E6:F6"/>
    <mergeCell ref="A57:F58"/>
    <mergeCell ref="E7:F7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85" zoomScaleNormal="85" workbookViewId="0">
      <selection activeCell="A21" sqref="A21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62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0.76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3.62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3.11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0.22</v>
      </c>
    </row>
    <row r="15" spans="1:7" s="5" customFormat="1" ht="15" x14ac:dyDescent="0.25">
      <c r="A15" s="8">
        <v>5</v>
      </c>
      <c r="B15" s="9" t="s">
        <v>18</v>
      </c>
      <c r="C15" s="10"/>
      <c r="D15" s="14"/>
      <c r="E15" s="11"/>
      <c r="F15" s="12">
        <v>1.9530000000000001</v>
      </c>
    </row>
    <row r="16" spans="1:7" s="5" customFormat="1" ht="15" x14ac:dyDescent="0.25">
      <c r="A16" s="8">
        <v>6</v>
      </c>
      <c r="B16" s="9" t="s">
        <v>20</v>
      </c>
      <c r="C16" s="10"/>
      <c r="D16" s="14"/>
      <c r="E16" s="11"/>
      <c r="F16" s="12">
        <v>0.48</v>
      </c>
    </row>
    <row r="17" spans="1:9" x14ac:dyDescent="0.25">
      <c r="A17" s="8">
        <v>7</v>
      </c>
      <c r="B17" s="9" t="s">
        <v>21</v>
      </c>
      <c r="C17" s="10"/>
      <c r="D17" s="14"/>
      <c r="E17" s="11"/>
      <c r="F17" s="12">
        <v>0.54</v>
      </c>
    </row>
    <row r="18" spans="1:9" s="5" customFormat="1" ht="15" x14ac:dyDescent="0.25">
      <c r="A18" s="8">
        <v>8</v>
      </c>
      <c r="B18" s="9" t="s">
        <v>61</v>
      </c>
      <c r="C18" s="10"/>
      <c r="D18" s="9"/>
      <c r="E18" s="11"/>
      <c r="F18" s="12">
        <v>0.83399999999999996</v>
      </c>
    </row>
    <row r="19" spans="1:9" x14ac:dyDescent="0.25">
      <c r="A19" s="8">
        <v>9</v>
      </c>
      <c r="B19" s="9" t="s">
        <v>22</v>
      </c>
      <c r="C19" s="10"/>
      <c r="D19" s="14"/>
      <c r="E19" s="11"/>
      <c r="F19" s="12">
        <v>0.03</v>
      </c>
    </row>
    <row r="20" spans="1:9" s="5" customFormat="1" ht="15" x14ac:dyDescent="0.25">
      <c r="A20" s="8">
        <v>10</v>
      </c>
      <c r="B20" s="9" t="s">
        <v>5</v>
      </c>
      <c r="C20" s="10"/>
      <c r="D20" s="10"/>
      <c r="E20" s="11"/>
      <c r="F20" s="12">
        <v>8.3350000000000009</v>
      </c>
    </row>
    <row r="21" spans="1:9" x14ac:dyDescent="0.25">
      <c r="A21" s="16" t="s">
        <v>95</v>
      </c>
      <c r="B21" s="13"/>
      <c r="C21" s="17"/>
      <c r="D21" s="13"/>
      <c r="E21" s="13"/>
      <c r="F21" s="18"/>
    </row>
    <row r="22" spans="1:9" s="4" customFormat="1" ht="15" customHeight="1" x14ac:dyDescent="0.25">
      <c r="A22" s="19" t="s">
        <v>6</v>
      </c>
      <c r="B22" s="20"/>
      <c r="C22" s="21"/>
      <c r="D22" s="20"/>
      <c r="E22" s="20"/>
      <c r="F22" s="22">
        <f>SUBTOTAL(9,F11:F21)</f>
        <v>19.881999999999998</v>
      </c>
    </row>
    <row r="23" spans="1:9" s="4" customFormat="1" ht="15.75" x14ac:dyDescent="0.25">
      <c r="A23" s="16"/>
      <c r="B23" s="13"/>
      <c r="C23" s="17"/>
      <c r="D23" s="13"/>
      <c r="E23" s="13"/>
      <c r="F23" s="18"/>
    </row>
    <row r="24" spans="1:9" s="4" customFormat="1" ht="15.75" x14ac:dyDescent="0.25">
      <c r="A24" s="8"/>
      <c r="B24" s="9" t="s">
        <v>23</v>
      </c>
      <c r="C24" s="10"/>
      <c r="D24" s="10"/>
      <c r="E24" s="11"/>
      <c r="F24" s="12">
        <f>F22*0.1</f>
        <v>1.9882</v>
      </c>
    </row>
    <row r="25" spans="1:9" s="5" customFormat="1" ht="15" x14ac:dyDescent="0.25">
      <c r="A25" s="8"/>
      <c r="B25" s="9" t="s">
        <v>45</v>
      </c>
      <c r="C25" s="10"/>
      <c r="D25" s="9"/>
      <c r="E25" s="9"/>
      <c r="F25" s="12">
        <f>SUM(F22:F24)*0.25</f>
        <v>5.4675499999999992</v>
      </c>
    </row>
    <row r="26" spans="1:9" s="5" customFormat="1" ht="15" x14ac:dyDescent="0.25">
      <c r="A26" s="16"/>
      <c r="B26" s="13"/>
      <c r="C26" s="17"/>
      <c r="D26" s="13"/>
      <c r="E26" s="13"/>
      <c r="F26" s="18"/>
    </row>
    <row r="27" spans="1:9" ht="15" x14ac:dyDescent="0.25">
      <c r="A27" s="50" t="s">
        <v>16</v>
      </c>
      <c r="B27" s="51"/>
      <c r="C27" s="52"/>
      <c r="D27" s="51"/>
      <c r="E27" s="51"/>
      <c r="F27" s="53">
        <f>SUM(F22:F26)</f>
        <v>27.337749999999996</v>
      </c>
    </row>
    <row r="28" spans="1:9" x14ac:dyDescent="0.25">
      <c r="A28" s="72"/>
      <c r="B28" s="72"/>
      <c r="C28" s="73"/>
      <c r="D28" s="72"/>
      <c r="E28" s="74"/>
      <c r="F28" s="72"/>
    </row>
    <row r="29" spans="1:9" ht="15.75" x14ac:dyDescent="0.25">
      <c r="A29" s="35" t="s">
        <v>7</v>
      </c>
      <c r="B29" s="36"/>
      <c r="C29" s="37"/>
      <c r="D29" s="38"/>
      <c r="E29" s="39" t="s">
        <v>47</v>
      </c>
      <c r="F29" s="40">
        <v>2.5000000000000001E-2</v>
      </c>
    </row>
    <row r="30" spans="1:9" s="4" customFormat="1" ht="30" x14ac:dyDescent="0.25">
      <c r="A30" s="23" t="s">
        <v>1</v>
      </c>
      <c r="B30" s="24" t="s">
        <v>2</v>
      </c>
      <c r="C30" s="26" t="s">
        <v>14</v>
      </c>
      <c r="D30" s="26" t="s">
        <v>9</v>
      </c>
      <c r="E30" s="26" t="s">
        <v>13</v>
      </c>
      <c r="F30" s="27" t="s">
        <v>0</v>
      </c>
      <c r="I30" s="5"/>
    </row>
    <row r="31" spans="1:9" s="5" customFormat="1" ht="15" x14ac:dyDescent="0.25">
      <c r="A31" s="8">
        <v>1</v>
      </c>
      <c r="B31" s="9" t="s">
        <v>10</v>
      </c>
      <c r="C31" s="28"/>
      <c r="D31" s="28"/>
      <c r="E31" s="11"/>
      <c r="F31" s="12">
        <f>SUBTOTAL(9,F32:F33)</f>
        <v>1.6340739571739724</v>
      </c>
    </row>
    <row r="32" spans="1:9" x14ac:dyDescent="0.25">
      <c r="A32" s="29">
        <f>A31+0.1</f>
        <v>1.1000000000000001</v>
      </c>
      <c r="B32" s="13" t="s">
        <v>8</v>
      </c>
      <c r="C32" s="30">
        <v>15000</v>
      </c>
      <c r="D32" s="31">
        <v>1</v>
      </c>
      <c r="E32" s="31">
        <v>100</v>
      </c>
      <c r="F32" s="32">
        <f>$C32*((1+$F$29)^$E32-1)/(((1+$F$29)^D32-1)*(1+$F$29)^$E32)/1000000</f>
        <v>0.54921157896718642</v>
      </c>
      <c r="H32" s="7"/>
    </row>
    <row r="33" spans="1:8" x14ac:dyDescent="0.25">
      <c r="A33" s="29">
        <f>A32+0.1</f>
        <v>1.2000000000000002</v>
      </c>
      <c r="B33" s="13" t="s">
        <v>11</v>
      </c>
      <c r="C33" s="30">
        <v>60000</v>
      </c>
      <c r="D33" s="31">
        <v>2</v>
      </c>
      <c r="E33" s="31">
        <v>100</v>
      </c>
      <c r="F33" s="32">
        <f>$C33*((1+$F$29)^$E33-1)/(((1+$F$29)^D33-1)*(1+$F$29)^$E33)/1000000</f>
        <v>1.0848623782067861</v>
      </c>
      <c r="H33" s="7"/>
    </row>
    <row r="34" spans="1:8" s="5" customFormat="1" ht="15" x14ac:dyDescent="0.25">
      <c r="A34" s="8">
        <v>2</v>
      </c>
      <c r="B34" s="9" t="s">
        <v>12</v>
      </c>
      <c r="C34" s="33"/>
      <c r="D34" s="34"/>
      <c r="E34" s="34"/>
      <c r="F34" s="12">
        <f>SUBTOTAL(9,F35)</f>
        <v>6.1019694861803986</v>
      </c>
    </row>
    <row r="35" spans="1:8" ht="25.5" x14ac:dyDescent="0.25">
      <c r="A35" s="29">
        <f>A34+0.1</f>
        <v>2.1</v>
      </c>
      <c r="B35" s="15" t="s">
        <v>72</v>
      </c>
      <c r="C35" s="30">
        <v>876000</v>
      </c>
      <c r="D35" s="31">
        <v>5</v>
      </c>
      <c r="E35" s="31">
        <v>100</v>
      </c>
      <c r="F35" s="32">
        <f>$C35*((1+$F$29)^$E35-1)/(((1+$F$29)^D35-1)*(1+$F$29)^$E35)/1000000</f>
        <v>6.1019694861803986</v>
      </c>
      <c r="G35" s="57"/>
      <c r="H35" s="7"/>
    </row>
    <row r="36" spans="1:8" s="5" customFormat="1" ht="15" x14ac:dyDescent="0.25">
      <c r="A36" s="8">
        <v>3</v>
      </c>
      <c r="B36" s="9" t="s">
        <v>24</v>
      </c>
      <c r="C36" s="33"/>
      <c r="D36" s="34"/>
      <c r="E36" s="34"/>
      <c r="F36" s="12">
        <f>SUBTOTAL(9,F37)</f>
        <v>6.8346524158186091</v>
      </c>
    </row>
    <row r="37" spans="1:8" ht="25.5" x14ac:dyDescent="0.25">
      <c r="A37" s="29">
        <f>A36+0.1</f>
        <v>3.1</v>
      </c>
      <c r="B37" s="15" t="s">
        <v>69</v>
      </c>
      <c r="C37" s="30">
        <v>1246000</v>
      </c>
      <c r="D37" s="62">
        <f>2/8*25</f>
        <v>6.25</v>
      </c>
      <c r="E37" s="31">
        <v>100</v>
      </c>
      <c r="F37" s="32">
        <f>$C37*((1+$F$29)^$E37-1)/(((1+$F$29)^D37-1)*(1+$F$29)^$E37)/1000000</f>
        <v>6.8346524158186091</v>
      </c>
      <c r="G37" s="57"/>
      <c r="H37" s="7"/>
    </row>
    <row r="38" spans="1:8" x14ac:dyDescent="0.25">
      <c r="A38" s="19" t="s">
        <v>6</v>
      </c>
      <c r="B38" s="20"/>
      <c r="C38" s="21"/>
      <c r="D38" s="20"/>
      <c r="E38" s="20"/>
      <c r="F38" s="22">
        <f>SUBTOTAL(9,F31:F37)</f>
        <v>14.570695859172979</v>
      </c>
    </row>
    <row r="39" spans="1:8" s="5" customFormat="1" ht="15" x14ac:dyDescent="0.25">
      <c r="A39" s="16"/>
      <c r="B39" s="13"/>
      <c r="C39" s="17"/>
      <c r="D39" s="13"/>
      <c r="E39" s="13"/>
      <c r="F39" s="18"/>
    </row>
    <row r="40" spans="1:8" s="5" customFormat="1" ht="15" x14ac:dyDescent="0.25">
      <c r="A40" s="50" t="str">
        <f>"Total Estimated Operational Costs (Over " &amp; TEXT(100,"0") &amp; "-Year Period)"</f>
        <v>Total Estimated Operational Costs (Over 100-Year Period)</v>
      </c>
      <c r="B40" s="51"/>
      <c r="C40" s="52"/>
      <c r="D40" s="51"/>
      <c r="E40" s="51"/>
      <c r="F40" s="53">
        <f>SUM(F38:F39)</f>
        <v>14.570695859172979</v>
      </c>
    </row>
    <row r="41" spans="1:8" ht="15" x14ac:dyDescent="0.25">
      <c r="A41" s="50" t="s">
        <v>34</v>
      </c>
      <c r="B41" s="51"/>
      <c r="C41" s="52"/>
      <c r="D41" s="51"/>
      <c r="E41" s="51"/>
      <c r="F41" s="56">
        <f>F40*F29*(1+F29)^100/((1+F29)^100-1)</f>
        <v>0.39795307720679668</v>
      </c>
    </row>
    <row r="42" spans="1:8" s="5" customFormat="1" ht="15" x14ac:dyDescent="0.25">
      <c r="A42" s="1"/>
      <c r="B42" s="1"/>
      <c r="C42" s="2"/>
      <c r="D42" s="1"/>
      <c r="E42" s="1"/>
      <c r="F42" s="1"/>
    </row>
    <row r="43" spans="1:8" ht="15.75" x14ac:dyDescent="0.25">
      <c r="A43" s="35" t="str">
        <f>"Total Estimated Lifecycle Costs (Over " &amp; TEXT(100,"0") &amp; "-Year Period)"</f>
        <v>Total Estimated Lifecycle Costs (Over 100-Year Period)</v>
      </c>
      <c r="B43" s="43"/>
      <c r="C43" s="44"/>
      <c r="D43" s="43"/>
      <c r="E43" s="43"/>
      <c r="F43" s="45">
        <f>F27+F40</f>
        <v>41.908445859172971</v>
      </c>
    </row>
    <row r="45" spans="1:8" s="4" customFormat="1" ht="15.75" x14ac:dyDescent="0.25">
      <c r="A45" s="1"/>
      <c r="B45" s="1"/>
      <c r="C45" s="1"/>
      <c r="D45" s="1"/>
      <c r="E45" s="1"/>
      <c r="F45" s="1"/>
      <c r="G45" s="57"/>
    </row>
    <row r="46" spans="1:8" ht="15.75" x14ac:dyDescent="0.25">
      <c r="A46" s="35" t="s">
        <v>56</v>
      </c>
      <c r="B46" s="36"/>
      <c r="C46" s="37"/>
      <c r="D46" s="38"/>
      <c r="E46" s="39" t="s">
        <v>47</v>
      </c>
      <c r="F46" s="40">
        <v>2.5000000000000001E-2</v>
      </c>
    </row>
    <row r="47" spans="1:8" s="5" customFormat="1" ht="30" x14ac:dyDescent="0.25">
      <c r="A47" s="23" t="s">
        <v>1</v>
      </c>
      <c r="B47" s="24" t="s">
        <v>2</v>
      </c>
      <c r="C47" s="26" t="s">
        <v>14</v>
      </c>
      <c r="D47" s="26" t="s">
        <v>9</v>
      </c>
      <c r="E47" s="26" t="s">
        <v>13</v>
      </c>
      <c r="F47" s="27" t="s">
        <v>0</v>
      </c>
    </row>
    <row r="48" spans="1:8" x14ac:dyDescent="0.25">
      <c r="A48" s="8">
        <v>1</v>
      </c>
      <c r="B48" s="75" t="s">
        <v>64</v>
      </c>
      <c r="C48" s="76">
        <v>40000</v>
      </c>
      <c r="D48" s="34">
        <v>4</v>
      </c>
      <c r="E48" s="34">
        <v>100</v>
      </c>
      <c r="F48" s="12">
        <f>$C48*((1+$F$29)^$E48-1)/(((1+$F$29)^D48-1)*(1+$F$29)^$E48)/1000000</f>
        <v>0.35269324497223581</v>
      </c>
      <c r="G48" s="57"/>
      <c r="H48" s="7"/>
    </row>
    <row r="49" spans="1:8" ht="25.5" x14ac:dyDescent="0.25">
      <c r="A49" s="8">
        <v>2</v>
      </c>
      <c r="B49" s="75" t="s">
        <v>78</v>
      </c>
      <c r="C49" s="76">
        <v>3898000</v>
      </c>
      <c r="D49" s="34">
        <v>20</v>
      </c>
      <c r="E49" s="34">
        <v>100</v>
      </c>
      <c r="F49" s="12">
        <f t="shared" ref="F49:F50" si="0">$C49*((1+$F$29)^$E49-1)/(((1+$F$29)^D49-1)*(1+$F$29)^$E49)/1000000</f>
        <v>5.5871479857314545</v>
      </c>
      <c r="G49" s="57"/>
      <c r="H49" s="7"/>
    </row>
    <row r="50" spans="1:8" ht="25.5" x14ac:dyDescent="0.25">
      <c r="A50" s="8">
        <v>3</v>
      </c>
      <c r="B50" s="77" t="s">
        <v>79</v>
      </c>
      <c r="C50" s="78">
        <v>1789000</v>
      </c>
      <c r="D50" s="79">
        <v>50</v>
      </c>
      <c r="E50" s="34">
        <v>100</v>
      </c>
      <c r="F50" s="12">
        <f t="shared" si="0"/>
        <v>0.67192975213392203</v>
      </c>
      <c r="G50" s="57"/>
      <c r="H50" s="7"/>
    </row>
    <row r="51" spans="1:8" x14ac:dyDescent="0.25">
      <c r="A51" s="19" t="s">
        <v>6</v>
      </c>
      <c r="B51" s="20"/>
      <c r="C51" s="21"/>
      <c r="D51" s="20"/>
      <c r="E51" s="20"/>
      <c r="F51" s="22">
        <f>SUBTOTAL(9,F48:F50)</f>
        <v>6.6117709828376121</v>
      </c>
      <c r="G51" s="57"/>
      <c r="H51" s="7"/>
    </row>
    <row r="52" spans="1:8" x14ac:dyDescent="0.25">
      <c r="A52" s="16"/>
      <c r="B52" s="13"/>
      <c r="C52" s="17"/>
      <c r="D52" s="13"/>
      <c r="E52" s="13"/>
      <c r="F52" s="18"/>
    </row>
    <row r="53" spans="1:8" s="5" customFormat="1" ht="15" x14ac:dyDescent="0.25">
      <c r="A53" s="50" t="str">
        <f>"Total Estimated Cost (Over " &amp; TEXT(100,"0") &amp; "-Year Period)"</f>
        <v>Total Estimated Cost (Over 100-Year Period)</v>
      </c>
      <c r="B53" s="51"/>
      <c r="C53" s="52"/>
      <c r="D53" s="51"/>
      <c r="E53" s="51"/>
      <c r="F53" s="53">
        <f>SUM(F51:F52)</f>
        <v>6.6117709828376121</v>
      </c>
    </row>
    <row r="54" spans="1:8" s="5" customFormat="1" ht="15" x14ac:dyDescent="0.25">
      <c r="A54" s="50" t="s">
        <v>67</v>
      </c>
      <c r="B54" s="51"/>
      <c r="C54" s="52"/>
      <c r="D54" s="51"/>
      <c r="E54" s="51"/>
      <c r="F54" s="56">
        <f>F53*F46*(1+F46)^100/((1+F46)^100-1)</f>
        <v>0.18057988676981265</v>
      </c>
    </row>
    <row r="55" spans="1:8" x14ac:dyDescent="0.25">
      <c r="A55" s="82" t="s">
        <v>65</v>
      </c>
      <c r="B55" s="82"/>
      <c r="C55" s="82"/>
      <c r="D55" s="82"/>
      <c r="E55" s="82"/>
      <c r="F55" s="82"/>
    </row>
    <row r="56" spans="1:8" x14ac:dyDescent="0.25">
      <c r="A56" s="83"/>
      <c r="B56" s="83"/>
      <c r="C56" s="83"/>
      <c r="D56" s="83"/>
      <c r="E56" s="83"/>
      <c r="F56" s="83"/>
    </row>
    <row r="57" spans="1:8" s="4" customFormat="1" ht="15.75" x14ac:dyDescent="0.25">
      <c r="A57" s="1"/>
      <c r="B57" s="1"/>
      <c r="C57" s="1"/>
      <c r="D57" s="1"/>
      <c r="E57" s="1"/>
      <c r="F57" s="1"/>
      <c r="G57" s="57"/>
    </row>
    <row r="58" spans="1:8" x14ac:dyDescent="0.25">
      <c r="C58" s="54"/>
    </row>
    <row r="59" spans="1:8" x14ac:dyDescent="0.25">
      <c r="C59" s="54"/>
    </row>
  </sheetData>
  <mergeCells count="3">
    <mergeCell ref="E6:F6"/>
    <mergeCell ref="A55:F56"/>
    <mergeCell ref="E7:F7"/>
  </mergeCell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zoomScale="85" zoomScaleNormal="85" workbookViewId="0">
      <selection activeCell="B21" sqref="B21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63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0.76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3.6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3.11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0.21</v>
      </c>
    </row>
    <row r="15" spans="1:7" s="5" customFormat="1" ht="15" x14ac:dyDescent="0.25">
      <c r="A15" s="8">
        <v>5</v>
      </c>
      <c r="B15" s="9" t="s">
        <v>18</v>
      </c>
      <c r="C15" s="10"/>
      <c r="D15" s="14"/>
      <c r="E15" s="11"/>
      <c r="F15" s="12">
        <v>2.5270000000000001</v>
      </c>
    </row>
    <row r="16" spans="1:7" s="5" customFormat="1" ht="15" x14ac:dyDescent="0.25">
      <c r="A16" s="8">
        <v>6</v>
      </c>
      <c r="B16" s="9" t="s">
        <v>20</v>
      </c>
      <c r="C16" s="10"/>
      <c r="D16" s="14"/>
      <c r="E16" s="11"/>
      <c r="F16" s="12">
        <v>0.5</v>
      </c>
    </row>
    <row r="17" spans="1:9" x14ac:dyDescent="0.25">
      <c r="A17" s="8">
        <v>7</v>
      </c>
      <c r="B17" s="9" t="s">
        <v>21</v>
      </c>
      <c r="C17" s="10"/>
      <c r="D17" s="14"/>
      <c r="E17" s="11"/>
      <c r="F17" s="12">
        <v>0.81</v>
      </c>
    </row>
    <row r="18" spans="1:9" s="5" customFormat="1" ht="15" x14ac:dyDescent="0.25">
      <c r="A18" s="8">
        <v>8</v>
      </c>
      <c r="B18" s="9" t="s">
        <v>61</v>
      </c>
      <c r="C18" s="10"/>
      <c r="D18" s="9"/>
      <c r="E18" s="11"/>
      <c r="F18" s="12">
        <v>0.84</v>
      </c>
    </row>
    <row r="19" spans="1:9" x14ac:dyDescent="0.25">
      <c r="A19" s="8">
        <v>9</v>
      </c>
      <c r="B19" s="9" t="s">
        <v>22</v>
      </c>
      <c r="C19" s="10"/>
      <c r="D19" s="14"/>
      <c r="E19" s="11"/>
      <c r="F19" s="12">
        <v>0.03</v>
      </c>
    </row>
    <row r="20" spans="1:9" s="5" customFormat="1" ht="15" x14ac:dyDescent="0.25">
      <c r="A20" s="8">
        <v>10</v>
      </c>
      <c r="B20" s="9" t="s">
        <v>5</v>
      </c>
      <c r="C20" s="10"/>
      <c r="D20" s="10"/>
      <c r="E20" s="11"/>
      <c r="F20" s="12">
        <v>8.82</v>
      </c>
    </row>
    <row r="21" spans="1:9" x14ac:dyDescent="0.25">
      <c r="A21" s="16" t="s">
        <v>96</v>
      </c>
      <c r="B21" s="13"/>
      <c r="C21" s="17"/>
      <c r="D21" s="13"/>
      <c r="E21" s="13"/>
      <c r="F21" s="18"/>
    </row>
    <row r="22" spans="1:9" s="4" customFormat="1" ht="15" customHeight="1" x14ac:dyDescent="0.25">
      <c r="A22" s="19" t="s">
        <v>6</v>
      </c>
      <c r="B22" s="20"/>
      <c r="C22" s="21"/>
      <c r="D22" s="20"/>
      <c r="E22" s="20"/>
      <c r="F22" s="22">
        <f>SUBTOTAL(9,F11:F21)</f>
        <v>21.207000000000001</v>
      </c>
    </row>
    <row r="23" spans="1:9" s="4" customFormat="1" ht="15.75" x14ac:dyDescent="0.25">
      <c r="A23" s="16"/>
      <c r="B23" s="13"/>
      <c r="C23" s="17"/>
      <c r="D23" s="13"/>
      <c r="E23" s="13"/>
      <c r="F23" s="18"/>
    </row>
    <row r="24" spans="1:9" s="4" customFormat="1" ht="15.75" x14ac:dyDescent="0.25">
      <c r="A24" s="8"/>
      <c r="B24" s="9" t="s">
        <v>23</v>
      </c>
      <c r="C24" s="10"/>
      <c r="D24" s="10"/>
      <c r="E24" s="11"/>
      <c r="F24" s="12">
        <f>F22*0.1</f>
        <v>2.1207000000000003</v>
      </c>
    </row>
    <row r="25" spans="1:9" s="5" customFormat="1" ht="15" x14ac:dyDescent="0.25">
      <c r="A25" s="8"/>
      <c r="B25" s="9" t="s">
        <v>45</v>
      </c>
      <c r="C25" s="10"/>
      <c r="D25" s="9"/>
      <c r="E25" s="9"/>
      <c r="F25" s="12">
        <f>SUM(F22:F24)*0.25</f>
        <v>5.831925</v>
      </c>
    </row>
    <row r="26" spans="1:9" s="5" customFormat="1" ht="15" x14ac:dyDescent="0.25">
      <c r="A26" s="16"/>
      <c r="B26" s="13"/>
      <c r="C26" s="17"/>
      <c r="D26" s="13"/>
      <c r="E26" s="13"/>
      <c r="F26" s="18"/>
    </row>
    <row r="27" spans="1:9" ht="15" x14ac:dyDescent="0.25">
      <c r="A27" s="50" t="s">
        <v>16</v>
      </c>
      <c r="B27" s="51"/>
      <c r="C27" s="52"/>
      <c r="D27" s="51"/>
      <c r="E27" s="51"/>
      <c r="F27" s="53">
        <f>SUM(F22:F26)</f>
        <v>29.159624999999998</v>
      </c>
    </row>
    <row r="28" spans="1:9" x14ac:dyDescent="0.25">
      <c r="A28" s="72"/>
      <c r="B28" s="72"/>
      <c r="C28" s="73"/>
      <c r="D28" s="72"/>
      <c r="E28" s="74"/>
      <c r="F28" s="72"/>
    </row>
    <row r="29" spans="1:9" ht="15.75" x14ac:dyDescent="0.25">
      <c r="A29" s="35" t="s">
        <v>7</v>
      </c>
      <c r="B29" s="36"/>
      <c r="C29" s="37"/>
      <c r="D29" s="38"/>
      <c r="E29" s="39" t="s">
        <v>47</v>
      </c>
      <c r="F29" s="40">
        <v>2.5000000000000001E-2</v>
      </c>
    </row>
    <row r="30" spans="1:9" s="4" customFormat="1" ht="30" x14ac:dyDescent="0.25">
      <c r="A30" s="23" t="s">
        <v>1</v>
      </c>
      <c r="B30" s="24" t="s">
        <v>2</v>
      </c>
      <c r="C30" s="26" t="s">
        <v>14</v>
      </c>
      <c r="D30" s="26" t="s">
        <v>9</v>
      </c>
      <c r="E30" s="26" t="s">
        <v>13</v>
      </c>
      <c r="F30" s="27" t="s">
        <v>0</v>
      </c>
      <c r="I30" s="5"/>
    </row>
    <row r="31" spans="1:9" s="5" customFormat="1" ht="15" x14ac:dyDescent="0.25">
      <c r="A31" s="8">
        <v>1</v>
      </c>
      <c r="B31" s="9" t="s">
        <v>10</v>
      </c>
      <c r="C31" s="28"/>
      <c r="D31" s="28"/>
      <c r="E31" s="11"/>
      <c r="F31" s="12">
        <f>SUBTOTAL(9,F32:F33)</f>
        <v>1.6340739571739724</v>
      </c>
    </row>
    <row r="32" spans="1:9" x14ac:dyDescent="0.25">
      <c r="A32" s="29">
        <f>A31+0.1</f>
        <v>1.1000000000000001</v>
      </c>
      <c r="B32" s="13" t="s">
        <v>8</v>
      </c>
      <c r="C32" s="30">
        <v>15000</v>
      </c>
      <c r="D32" s="31">
        <v>1</v>
      </c>
      <c r="E32" s="31">
        <v>100</v>
      </c>
      <c r="F32" s="32">
        <f>$C32*((1+$F$29)^$E32-1)/(((1+$F$29)^D32-1)*(1+$F$29)^$E32)/1000000</f>
        <v>0.54921157896718642</v>
      </c>
      <c r="H32" s="7"/>
    </row>
    <row r="33" spans="1:8" x14ac:dyDescent="0.25">
      <c r="A33" s="29">
        <f>A32+0.1</f>
        <v>1.2000000000000002</v>
      </c>
      <c r="B33" s="13" t="s">
        <v>11</v>
      </c>
      <c r="C33" s="30">
        <v>60000</v>
      </c>
      <c r="D33" s="31">
        <v>2</v>
      </c>
      <c r="E33" s="31">
        <v>100</v>
      </c>
      <c r="F33" s="32">
        <f>$C33*((1+$F$29)^$E33-1)/(((1+$F$29)^D33-1)*(1+$F$29)^$E33)/1000000</f>
        <v>1.0848623782067861</v>
      </c>
      <c r="H33" s="7"/>
    </row>
    <row r="34" spans="1:8" x14ac:dyDescent="0.25">
      <c r="A34" s="19" t="s">
        <v>6</v>
      </c>
      <c r="B34" s="20"/>
      <c r="C34" s="21"/>
      <c r="D34" s="20"/>
      <c r="E34" s="20"/>
      <c r="F34" s="22">
        <f>SUBTOTAL(9,F31:F33)</f>
        <v>1.6340739571739724</v>
      </c>
      <c r="G34" s="57"/>
      <c r="H34" s="7"/>
    </row>
    <row r="35" spans="1:8" x14ac:dyDescent="0.25">
      <c r="A35" s="16"/>
      <c r="B35" s="13"/>
      <c r="C35" s="17"/>
      <c r="D35" s="13"/>
      <c r="E35" s="13"/>
      <c r="F35" s="18"/>
    </row>
    <row r="36" spans="1:8" s="5" customFormat="1" ht="15" x14ac:dyDescent="0.25">
      <c r="A36" s="50" t="str">
        <f>"Total Estimated Operational Costs (Over " &amp; TEXT(100,"0") &amp; "-Year Period)"</f>
        <v>Total Estimated Operational Costs (Over 100-Year Period)</v>
      </c>
      <c r="B36" s="51"/>
      <c r="C36" s="52"/>
      <c r="D36" s="51"/>
      <c r="E36" s="51"/>
      <c r="F36" s="53">
        <f>SUM(F34:F35)</f>
        <v>1.6340739571739724</v>
      </c>
    </row>
    <row r="37" spans="1:8" s="5" customFormat="1" ht="15" x14ac:dyDescent="0.25">
      <c r="A37" s="50" t="s">
        <v>34</v>
      </c>
      <c r="B37" s="51"/>
      <c r="C37" s="52"/>
      <c r="D37" s="51"/>
      <c r="E37" s="51"/>
      <c r="F37" s="56">
        <f>F36*F29*(1+F29)^100/((1+F29)^100-1)</f>
        <v>4.4629629629629734E-2</v>
      </c>
    </row>
    <row r="39" spans="1:8" s="5" customFormat="1" ht="15.75" x14ac:dyDescent="0.25">
      <c r="A39" s="35" t="str">
        <f>"Total Estimated Lifecycle Costs (Over " &amp; TEXT(100,"0") &amp; "-Year Period)"</f>
        <v>Total Estimated Lifecycle Costs (Over 100-Year Period)</v>
      </c>
      <c r="B39" s="43"/>
      <c r="C39" s="44"/>
      <c r="D39" s="43"/>
      <c r="E39" s="43"/>
      <c r="F39" s="45">
        <f>F27+F36</f>
        <v>30.793698957173969</v>
      </c>
    </row>
    <row r="40" spans="1:8" x14ac:dyDescent="0.25">
      <c r="A40" s="82" t="s">
        <v>66</v>
      </c>
      <c r="B40" s="82"/>
      <c r="C40" s="82"/>
      <c r="D40" s="82"/>
      <c r="E40" s="82"/>
      <c r="F40" s="82"/>
    </row>
    <row r="41" spans="1:8" x14ac:dyDescent="0.25">
      <c r="A41" s="83"/>
      <c r="B41" s="83"/>
      <c r="C41" s="83"/>
      <c r="D41" s="83"/>
      <c r="E41" s="83"/>
      <c r="F41" s="83"/>
    </row>
  </sheetData>
  <mergeCells count="3">
    <mergeCell ref="E6:F6"/>
    <mergeCell ref="A40:F41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zoomScale="85" zoomScaleNormal="85" workbookViewId="0">
      <selection activeCell="A21" sqref="A21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1" width="9.140625" style="1"/>
    <col min="12" max="12" width="14" style="1" bestFit="1" customWidth="1"/>
    <col min="13" max="13" width="17.140625" style="1" bestFit="1" customWidth="1"/>
    <col min="14" max="14" width="13.140625" style="1" bestFit="1" customWidth="1"/>
    <col min="15" max="15" width="11.42578125" style="1" bestFit="1" customWidth="1"/>
    <col min="16" max="16384" width="9.140625" style="1"/>
  </cols>
  <sheetData>
    <row r="1" spans="1:13" x14ac:dyDescent="0.2">
      <c r="C1" s="46" t="s">
        <v>25</v>
      </c>
      <c r="D1" s="47"/>
      <c r="E1" s="46" t="s">
        <v>33</v>
      </c>
      <c r="F1" s="48"/>
      <c r="G1" s="47"/>
    </row>
    <row r="2" spans="1:13" x14ac:dyDescent="0.2">
      <c r="C2" s="46" t="s">
        <v>26</v>
      </c>
      <c r="D2" s="47"/>
      <c r="E2" s="49" t="s">
        <v>37</v>
      </c>
      <c r="F2" s="48"/>
      <c r="G2" s="47"/>
    </row>
    <row r="3" spans="1:13" x14ac:dyDescent="0.2">
      <c r="C3" s="46" t="s">
        <v>27</v>
      </c>
      <c r="D3" s="47"/>
      <c r="E3" s="49" t="s">
        <v>55</v>
      </c>
      <c r="F3" s="48"/>
      <c r="G3" s="47"/>
    </row>
    <row r="4" spans="1:13" x14ac:dyDescent="0.2">
      <c r="C4" s="46" t="s">
        <v>28</v>
      </c>
      <c r="D4" s="47"/>
      <c r="E4" s="49" t="s">
        <v>54</v>
      </c>
      <c r="F4" s="48"/>
      <c r="G4" s="47"/>
    </row>
    <row r="5" spans="1:13" x14ac:dyDescent="0.2">
      <c r="C5" s="46" t="s">
        <v>29</v>
      </c>
      <c r="D5" s="47"/>
      <c r="E5" s="47" t="s">
        <v>31</v>
      </c>
      <c r="F5" s="48"/>
      <c r="G5" s="47"/>
    </row>
    <row r="6" spans="1:13" x14ac:dyDescent="0.2">
      <c r="C6" s="46" t="s">
        <v>30</v>
      </c>
      <c r="D6" s="47"/>
      <c r="E6" s="81">
        <v>41726</v>
      </c>
      <c r="F6" s="81"/>
      <c r="G6" s="47"/>
    </row>
    <row r="7" spans="1:13" ht="15" x14ac:dyDescent="0.25">
      <c r="C7" s="46" t="s">
        <v>68</v>
      </c>
      <c r="E7" s="84">
        <v>0</v>
      </c>
      <c r="F7" s="84"/>
    </row>
    <row r="8" spans="1:13" ht="18" x14ac:dyDescent="0.25">
      <c r="A8" s="3" t="s">
        <v>32</v>
      </c>
    </row>
    <row r="9" spans="1:13" ht="15.75" x14ac:dyDescent="0.25">
      <c r="A9" s="35" t="s">
        <v>15</v>
      </c>
      <c r="B9" s="36"/>
      <c r="C9" s="41"/>
      <c r="D9" s="36"/>
      <c r="E9" s="36"/>
      <c r="F9" s="42"/>
    </row>
    <row r="10" spans="1:13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  <c r="J10" s="58"/>
      <c r="K10" s="58"/>
      <c r="L10" s="58"/>
      <c r="M10" s="58"/>
    </row>
    <row r="11" spans="1:13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0.75800000000000001</v>
      </c>
      <c r="J11" s="1"/>
      <c r="K11" s="1"/>
      <c r="L11" s="1"/>
      <c r="M11" s="1"/>
    </row>
    <row r="12" spans="1:13" x14ac:dyDescent="0.25">
      <c r="A12" s="8">
        <v>2</v>
      </c>
      <c r="B12" s="9" t="s">
        <v>19</v>
      </c>
      <c r="C12" s="10"/>
      <c r="D12" s="14"/>
      <c r="E12" s="11"/>
      <c r="F12" s="12">
        <v>3.629</v>
      </c>
    </row>
    <row r="13" spans="1:13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9.0169999999999995</v>
      </c>
      <c r="J13" s="1"/>
      <c r="K13" s="1"/>
      <c r="L13" s="1"/>
      <c r="M13" s="1"/>
    </row>
    <row r="14" spans="1:13" x14ac:dyDescent="0.25">
      <c r="A14" s="8">
        <v>4</v>
      </c>
      <c r="B14" s="9" t="s">
        <v>44</v>
      </c>
      <c r="C14" s="10"/>
      <c r="D14" s="14"/>
      <c r="E14" s="11"/>
      <c r="F14" s="12">
        <v>0.218</v>
      </c>
    </row>
    <row r="15" spans="1:13" s="5" customFormat="1" ht="15" x14ac:dyDescent="0.25">
      <c r="A15" s="8">
        <v>5</v>
      </c>
      <c r="B15" s="9" t="s">
        <v>18</v>
      </c>
      <c r="C15" s="10"/>
      <c r="D15" s="9"/>
      <c r="E15" s="11"/>
      <c r="F15" s="12">
        <v>2.0499999999999998</v>
      </c>
      <c r="J15" s="1"/>
      <c r="K15" s="1"/>
      <c r="L15" s="1"/>
      <c r="M15" s="1"/>
    </row>
    <row r="16" spans="1:13" x14ac:dyDescent="0.25">
      <c r="A16" s="8">
        <v>6</v>
      </c>
      <c r="B16" s="9" t="s">
        <v>20</v>
      </c>
      <c r="C16" s="10"/>
      <c r="D16" s="14"/>
      <c r="E16" s="11"/>
      <c r="F16" s="12">
        <v>0.53200000000000003</v>
      </c>
    </row>
    <row r="17" spans="1:13" s="5" customFormat="1" ht="15" x14ac:dyDescent="0.25">
      <c r="A17" s="8">
        <v>7</v>
      </c>
      <c r="B17" s="9" t="s">
        <v>21</v>
      </c>
      <c r="C17" s="10"/>
      <c r="D17" s="9"/>
      <c r="E17" s="11"/>
      <c r="F17" s="12">
        <v>0.81</v>
      </c>
      <c r="J17" s="1"/>
      <c r="K17" s="1"/>
      <c r="L17" s="1"/>
      <c r="M17" s="1"/>
    </row>
    <row r="18" spans="1:13" x14ac:dyDescent="0.25">
      <c r="A18" s="8">
        <v>8</v>
      </c>
      <c r="B18" s="9" t="s">
        <v>61</v>
      </c>
      <c r="C18" s="10"/>
      <c r="D18" s="14"/>
      <c r="E18" s="11"/>
      <c r="F18" s="12">
        <v>0.85</v>
      </c>
    </row>
    <row r="19" spans="1:13" x14ac:dyDescent="0.25">
      <c r="A19" s="8">
        <v>9</v>
      </c>
      <c r="B19" s="9" t="s">
        <v>22</v>
      </c>
      <c r="C19" s="10"/>
      <c r="D19" s="14"/>
      <c r="E19" s="11"/>
      <c r="F19" s="12">
        <v>4.4999999999999998E-2</v>
      </c>
    </row>
    <row r="20" spans="1:13" s="5" customFormat="1" ht="15" x14ac:dyDescent="0.25">
      <c r="A20" s="8">
        <v>10</v>
      </c>
      <c r="B20" s="9" t="s">
        <v>5</v>
      </c>
      <c r="C20" s="10"/>
      <c r="D20" s="10"/>
      <c r="E20" s="11"/>
      <c r="F20" s="12">
        <v>10</v>
      </c>
      <c r="J20" s="1"/>
      <c r="K20" s="1"/>
      <c r="L20" s="1"/>
      <c r="M20" s="1"/>
    </row>
    <row r="21" spans="1:13" x14ac:dyDescent="0.25">
      <c r="A21" s="16" t="s">
        <v>81</v>
      </c>
      <c r="B21" s="13"/>
      <c r="C21" s="17"/>
      <c r="D21" s="13"/>
      <c r="E21" s="13"/>
      <c r="F21" s="18"/>
    </row>
    <row r="22" spans="1:13" s="4" customFormat="1" ht="15" customHeight="1" x14ac:dyDescent="0.25">
      <c r="A22" s="19" t="s">
        <v>6</v>
      </c>
      <c r="B22" s="20"/>
      <c r="C22" s="21"/>
      <c r="D22" s="20"/>
      <c r="E22" s="20"/>
      <c r="F22" s="22">
        <f>SUBTOTAL(9,F11:F21)</f>
        <v>27.909000000000002</v>
      </c>
      <c r="J22" s="58"/>
      <c r="K22" s="58"/>
      <c r="L22" s="58"/>
      <c r="M22" s="58"/>
    </row>
    <row r="23" spans="1:13" s="4" customFormat="1" ht="15.75" x14ac:dyDescent="0.25">
      <c r="A23" s="16"/>
      <c r="B23" s="13"/>
      <c r="C23" s="17"/>
      <c r="D23" s="13"/>
      <c r="E23" s="13"/>
      <c r="F23" s="18"/>
      <c r="J23" s="58"/>
      <c r="K23" s="58"/>
      <c r="L23" s="58"/>
      <c r="M23" s="58"/>
    </row>
    <row r="24" spans="1:13" s="4" customFormat="1" ht="15.75" x14ac:dyDescent="0.25">
      <c r="A24" s="8"/>
      <c r="B24" s="9" t="s">
        <v>23</v>
      </c>
      <c r="C24" s="10"/>
      <c r="D24" s="10"/>
      <c r="E24" s="11"/>
      <c r="F24" s="12">
        <f>F22*0.1</f>
        <v>2.7909000000000006</v>
      </c>
      <c r="J24" s="58"/>
      <c r="K24" s="58"/>
      <c r="L24" s="58"/>
      <c r="M24" s="58"/>
    </row>
    <row r="25" spans="1:13" s="5" customFormat="1" ht="15" x14ac:dyDescent="0.25">
      <c r="A25" s="8"/>
      <c r="B25" s="9" t="s">
        <v>45</v>
      </c>
      <c r="C25" s="10"/>
      <c r="D25" s="9"/>
      <c r="E25" s="9"/>
      <c r="F25" s="12">
        <f>SUM(F22:F24)*0.25</f>
        <v>7.6749750000000008</v>
      </c>
      <c r="J25" s="1"/>
      <c r="K25" s="58"/>
      <c r="L25" s="58"/>
      <c r="M25" s="1"/>
    </row>
    <row r="26" spans="1:13" s="5" customFormat="1" ht="15" x14ac:dyDescent="0.25">
      <c r="A26" s="16"/>
      <c r="B26" s="13"/>
      <c r="C26" s="17"/>
      <c r="D26" s="13"/>
      <c r="E26" s="13"/>
      <c r="F26" s="18"/>
      <c r="J26" s="1"/>
      <c r="K26" s="58"/>
      <c r="L26" s="58"/>
      <c r="M26" s="1"/>
    </row>
    <row r="27" spans="1:13" ht="15" x14ac:dyDescent="0.25">
      <c r="A27" s="50" t="s">
        <v>16</v>
      </c>
      <c r="B27" s="51"/>
      <c r="C27" s="52"/>
      <c r="D27" s="51"/>
      <c r="E27" s="51"/>
      <c r="F27" s="53">
        <f>SUM(F22:F26)</f>
        <v>38.374875000000003</v>
      </c>
      <c r="K27" s="58"/>
      <c r="L27" s="58"/>
    </row>
    <row r="28" spans="1:13" ht="15" x14ac:dyDescent="0.25">
      <c r="E28" s="6"/>
      <c r="K28" s="58"/>
      <c r="L28" s="58"/>
    </row>
    <row r="29" spans="1:13" ht="15.75" x14ac:dyDescent="0.25">
      <c r="A29" s="35" t="s">
        <v>7</v>
      </c>
      <c r="B29" s="36"/>
      <c r="C29" s="37"/>
      <c r="D29" s="38"/>
      <c r="E29" s="39" t="s">
        <v>47</v>
      </c>
      <c r="F29" s="40">
        <v>2.5000000000000001E-2</v>
      </c>
    </row>
    <row r="30" spans="1:13" s="4" customFormat="1" ht="30" x14ac:dyDescent="0.25">
      <c r="A30" s="23" t="s">
        <v>1</v>
      </c>
      <c r="B30" s="24" t="s">
        <v>2</v>
      </c>
      <c r="C30" s="26" t="s">
        <v>14</v>
      </c>
      <c r="D30" s="26" t="s">
        <v>9</v>
      </c>
      <c r="E30" s="26" t="s">
        <v>13</v>
      </c>
      <c r="F30" s="27" t="s">
        <v>0</v>
      </c>
      <c r="I30" s="5"/>
      <c r="J30" s="58"/>
      <c r="K30" s="58"/>
      <c r="L30" s="58"/>
      <c r="M30" s="58"/>
    </row>
    <row r="31" spans="1:13" s="5" customFormat="1" ht="15" x14ac:dyDescent="0.25">
      <c r="A31" s="8">
        <v>1</v>
      </c>
      <c r="B31" s="9" t="s">
        <v>10</v>
      </c>
      <c r="C31" s="28"/>
      <c r="D31" s="28"/>
      <c r="E31" s="11"/>
      <c r="F31" s="12">
        <f>SUBTOTAL(9,F32:F33)</f>
        <v>1.6340739571739724</v>
      </c>
    </row>
    <row r="32" spans="1:13" x14ac:dyDescent="0.25">
      <c r="A32" s="29">
        <f>A31+0.1</f>
        <v>1.1000000000000001</v>
      </c>
      <c r="B32" s="13" t="s">
        <v>8</v>
      </c>
      <c r="C32" s="30">
        <v>15000</v>
      </c>
      <c r="D32" s="31">
        <v>1</v>
      </c>
      <c r="E32" s="31">
        <v>100</v>
      </c>
      <c r="F32" s="32">
        <f>$C32*((1+$F$29)^$E32-1)/(((1+$F$29)^D32-1)*(1+$F$29)^$E32)/1000000</f>
        <v>0.54921157896718642</v>
      </c>
      <c r="H32" s="7"/>
    </row>
    <row r="33" spans="1:8" x14ac:dyDescent="0.25">
      <c r="A33" s="29">
        <f>A32+0.1</f>
        <v>1.2000000000000002</v>
      </c>
      <c r="B33" s="13" t="s">
        <v>11</v>
      </c>
      <c r="C33" s="30">
        <v>60000</v>
      </c>
      <c r="D33" s="31">
        <v>2</v>
      </c>
      <c r="E33" s="31">
        <v>100</v>
      </c>
      <c r="F33" s="32">
        <f>$C33*((1+$F$29)^$E33-1)/(((1+$F$29)^D33-1)*(1+$F$29)^$E33)/1000000</f>
        <v>1.0848623782067861</v>
      </c>
      <c r="H33" s="7"/>
    </row>
    <row r="34" spans="1:8" s="5" customFormat="1" ht="15" x14ac:dyDescent="0.25">
      <c r="A34" s="8">
        <v>2</v>
      </c>
      <c r="B34" s="9" t="s">
        <v>12</v>
      </c>
      <c r="C34" s="33"/>
      <c r="D34" s="34"/>
      <c r="E34" s="34"/>
      <c r="F34" s="12">
        <f>SUBTOTAL(9,F35)</f>
        <v>6.1019694861803986</v>
      </c>
    </row>
    <row r="35" spans="1:8" ht="25.5" x14ac:dyDescent="0.25">
      <c r="A35" s="29">
        <f>A34+0.1</f>
        <v>2.1</v>
      </c>
      <c r="B35" s="15" t="s">
        <v>72</v>
      </c>
      <c r="C35" s="30">
        <v>876000</v>
      </c>
      <c r="D35" s="31">
        <v>5</v>
      </c>
      <c r="E35" s="31">
        <v>100</v>
      </c>
      <c r="F35" s="32">
        <f>$C35*((1+$F$29)^$E35-1)/(((1+$F$29)^D35-1)*(1+$F$29)^$E35)/1000000</f>
        <v>6.1019694861803986</v>
      </c>
      <c r="G35" s="57"/>
      <c r="H35" s="7"/>
    </row>
    <row r="36" spans="1:8" s="5" customFormat="1" ht="15" x14ac:dyDescent="0.25">
      <c r="A36" s="8">
        <v>3</v>
      </c>
      <c r="B36" s="9" t="s">
        <v>24</v>
      </c>
      <c r="C36" s="33"/>
      <c r="D36" s="34"/>
      <c r="E36" s="34"/>
      <c r="F36" s="12">
        <f>SUBTOTAL(9,F37)</f>
        <v>6.8346524158186091</v>
      </c>
    </row>
    <row r="37" spans="1:8" ht="25.5" x14ac:dyDescent="0.25">
      <c r="A37" s="29">
        <f>A36+0.1</f>
        <v>3.1</v>
      </c>
      <c r="B37" s="15" t="s">
        <v>69</v>
      </c>
      <c r="C37" s="30">
        <v>1246000</v>
      </c>
      <c r="D37" s="62">
        <f>2/8*25</f>
        <v>6.25</v>
      </c>
      <c r="E37" s="31">
        <v>100</v>
      </c>
      <c r="F37" s="32">
        <f>$C37*((1+$F$29)^$E37-1)/(((1+$F$29)^D37-1)*(1+$F$29)^$E37)/1000000</f>
        <v>6.8346524158186091</v>
      </c>
      <c r="G37" s="57"/>
      <c r="H37" s="7"/>
    </row>
    <row r="38" spans="1:8" x14ac:dyDescent="0.25">
      <c r="A38" s="19" t="s">
        <v>6</v>
      </c>
      <c r="B38" s="20"/>
      <c r="C38" s="21"/>
      <c r="D38" s="20"/>
      <c r="E38" s="20"/>
      <c r="F38" s="22">
        <f>SUBTOTAL(9,F31:F37)</f>
        <v>14.570695859172979</v>
      </c>
      <c r="G38" s="57"/>
      <c r="H38" s="7"/>
    </row>
    <row r="39" spans="1:8" x14ac:dyDescent="0.25">
      <c r="A39" s="16"/>
      <c r="B39" s="13"/>
      <c r="C39" s="17"/>
      <c r="D39" s="13"/>
      <c r="E39" s="13"/>
      <c r="F39" s="18"/>
    </row>
    <row r="40" spans="1:8" s="5" customFormat="1" ht="15" x14ac:dyDescent="0.25">
      <c r="A40" s="50" t="str">
        <f>"Total Estimated Operational Costs (Over " &amp; TEXT(100,"0") &amp; "-Year Period)"</f>
        <v>Total Estimated Operational Costs (Over 100-Year Period)</v>
      </c>
      <c r="B40" s="51"/>
      <c r="C40" s="52"/>
      <c r="D40" s="51"/>
      <c r="E40" s="51"/>
      <c r="F40" s="53">
        <f>SUM(F38:F39)</f>
        <v>14.570695859172979</v>
      </c>
    </row>
    <row r="41" spans="1:8" s="5" customFormat="1" ht="15" x14ac:dyDescent="0.25">
      <c r="A41" s="50" t="s">
        <v>34</v>
      </c>
      <c r="B41" s="51"/>
      <c r="C41" s="52"/>
      <c r="D41" s="51"/>
      <c r="E41" s="51"/>
      <c r="F41" s="56">
        <f>F40*F29*(1+F29)^100/((1+F29)^100-1)</f>
        <v>0.39795307720679668</v>
      </c>
    </row>
    <row r="43" spans="1:8" s="5" customFormat="1" ht="15.75" x14ac:dyDescent="0.25">
      <c r="A43" s="35" t="str">
        <f>"Total Estimated Lifecycle Costs (Over " &amp; TEXT(100,"0") &amp; "-Year Period)"</f>
        <v>Total Estimated Lifecycle Costs (Over 100-Year Period)</v>
      </c>
      <c r="B43" s="43"/>
      <c r="C43" s="44"/>
      <c r="D43" s="43"/>
      <c r="E43" s="43"/>
      <c r="F43" s="45">
        <f>F27+F40</f>
        <v>52.945570859172982</v>
      </c>
    </row>
    <row r="45" spans="1:8" s="4" customFormat="1" ht="15.75" x14ac:dyDescent="0.25">
      <c r="A45" s="1"/>
      <c r="B45" s="1"/>
      <c r="C45" s="1"/>
      <c r="D45" s="1"/>
      <c r="E45" s="1"/>
      <c r="F45" s="1"/>
      <c r="G45" s="57"/>
    </row>
    <row r="46" spans="1:8" ht="15.75" x14ac:dyDescent="0.25">
      <c r="A46" s="35" t="s">
        <v>56</v>
      </c>
      <c r="B46" s="36"/>
      <c r="C46" s="37"/>
      <c r="D46" s="38"/>
      <c r="E46" s="39" t="s">
        <v>47</v>
      </c>
      <c r="F46" s="40">
        <v>2.5000000000000001E-2</v>
      </c>
    </row>
    <row r="47" spans="1:8" s="5" customFormat="1" ht="30" x14ac:dyDescent="0.25">
      <c r="A47" s="23" t="s">
        <v>1</v>
      </c>
      <c r="B47" s="24" t="s">
        <v>2</v>
      </c>
      <c r="C47" s="26" t="s">
        <v>14</v>
      </c>
      <c r="D47" s="26" t="s">
        <v>9</v>
      </c>
      <c r="E47" s="26" t="s">
        <v>13</v>
      </c>
      <c r="F47" s="27" t="s">
        <v>0</v>
      </c>
    </row>
    <row r="48" spans="1:8" x14ac:dyDescent="0.25">
      <c r="A48" s="8">
        <v>1</v>
      </c>
      <c r="B48" s="75" t="s">
        <v>64</v>
      </c>
      <c r="C48" s="76">
        <v>40000</v>
      </c>
      <c r="D48" s="34">
        <v>4</v>
      </c>
      <c r="E48" s="34">
        <v>100</v>
      </c>
      <c r="F48" s="12">
        <f>$C48*((1+$F$29)^$E48-1)/(((1+$F$29)^D48-1)*(1+$F$29)^$E48)/1000000</f>
        <v>0.35269324497223581</v>
      </c>
      <c r="G48" s="57"/>
      <c r="H48" s="7"/>
    </row>
    <row r="49" spans="1:15" ht="25.5" x14ac:dyDescent="0.25">
      <c r="A49" s="8">
        <v>2</v>
      </c>
      <c r="B49" s="75" t="s">
        <v>78</v>
      </c>
      <c r="C49" s="76">
        <v>3898000</v>
      </c>
      <c r="D49" s="34">
        <v>20</v>
      </c>
      <c r="E49" s="34">
        <v>100</v>
      </c>
      <c r="F49" s="12">
        <f>$C49*((1+$F$29)^$E49-1)/(((1+$F$29)^D49-1)*(1+$F$29)^$E49)/1000000</f>
        <v>5.5871479857314545</v>
      </c>
      <c r="G49" s="57"/>
      <c r="H49" s="7"/>
    </row>
    <row r="50" spans="1:15" ht="25.5" x14ac:dyDescent="0.25">
      <c r="A50" s="8">
        <v>3</v>
      </c>
      <c r="B50" s="77" t="s">
        <v>79</v>
      </c>
      <c r="C50" s="78">
        <v>1789000</v>
      </c>
      <c r="D50" s="79">
        <v>50</v>
      </c>
      <c r="E50" s="34">
        <v>100</v>
      </c>
      <c r="F50" s="80">
        <f>$C50*((1+$F$29)^$E50-1)/(((1+$F$29)^D50-1)*(1+$F$29)^$E50)/1000000</f>
        <v>0.67192975213392203</v>
      </c>
      <c r="G50" s="57"/>
      <c r="H50" s="7"/>
    </row>
    <row r="51" spans="1:15" x14ac:dyDescent="0.25">
      <c r="A51" s="19" t="s">
        <v>6</v>
      </c>
      <c r="B51" s="20"/>
      <c r="C51" s="21"/>
      <c r="D51" s="20"/>
      <c r="E51" s="20"/>
      <c r="F51" s="22">
        <f>SUBTOTAL(9,F48:F50)</f>
        <v>6.6117709828376121</v>
      </c>
      <c r="G51" s="57"/>
      <c r="H51" s="7"/>
    </row>
    <row r="52" spans="1:15" x14ac:dyDescent="0.25">
      <c r="A52" s="16"/>
      <c r="B52" s="13"/>
      <c r="C52" s="17"/>
      <c r="D52" s="13"/>
      <c r="E52" s="13"/>
      <c r="F52" s="18"/>
    </row>
    <row r="53" spans="1:15" s="5" customFormat="1" ht="15" x14ac:dyDescent="0.25">
      <c r="A53" s="50" t="str">
        <f>"Total Estimated Cost (Over " &amp; TEXT(100,"0") &amp; "-Year Period)"</f>
        <v>Total Estimated Cost (Over 100-Year Period)</v>
      </c>
      <c r="B53" s="51"/>
      <c r="C53" s="52"/>
      <c r="D53" s="51"/>
      <c r="E53" s="51"/>
      <c r="F53" s="53">
        <f>SUM(F51:F52)</f>
        <v>6.6117709828376121</v>
      </c>
    </row>
    <row r="54" spans="1:15" s="5" customFormat="1" ht="15" x14ac:dyDescent="0.25">
      <c r="A54" s="50" t="s">
        <v>67</v>
      </c>
      <c r="B54" s="51"/>
      <c r="C54" s="52"/>
      <c r="D54" s="51"/>
      <c r="E54" s="51"/>
      <c r="F54" s="56">
        <f>F53*F46*(1+F46)^100/((1+F46)^100-1)</f>
        <v>0.18057988676981265</v>
      </c>
    </row>
    <row r="55" spans="1:15" x14ac:dyDescent="0.25">
      <c r="A55" s="82" t="s">
        <v>65</v>
      </c>
      <c r="B55" s="82"/>
      <c r="C55" s="82"/>
      <c r="D55" s="82"/>
      <c r="E55" s="82"/>
      <c r="F55" s="82"/>
    </row>
    <row r="56" spans="1:15" x14ac:dyDescent="0.25">
      <c r="A56" s="83"/>
      <c r="B56" s="83"/>
      <c r="C56" s="83"/>
      <c r="D56" s="83"/>
      <c r="E56" s="83"/>
      <c r="F56" s="83"/>
    </row>
    <row r="58" spans="1:15" s="4" customFormat="1" ht="15.75" x14ac:dyDescent="0.25">
      <c r="A58" s="1"/>
      <c r="B58" s="1"/>
      <c r="C58" s="1"/>
      <c r="D58" s="1"/>
      <c r="E58" s="1"/>
      <c r="F58" s="1"/>
      <c r="G58" s="57"/>
      <c r="J58" s="1"/>
      <c r="K58" s="1"/>
      <c r="L58" s="1"/>
      <c r="M58" s="1"/>
      <c r="N58" s="59"/>
      <c r="O58" s="5"/>
    </row>
    <row r="59" spans="1:15" x14ac:dyDescent="0.25">
      <c r="C59" s="54"/>
      <c r="N59" s="59"/>
    </row>
    <row r="60" spans="1:15" x14ac:dyDescent="0.25">
      <c r="C60" s="54"/>
      <c r="N60" s="59"/>
      <c r="O60" s="59"/>
    </row>
    <row r="61" spans="1:15" ht="15" x14ac:dyDescent="0.25">
      <c r="N61" s="59"/>
      <c r="O61" s="5"/>
    </row>
    <row r="62" spans="1:15" x14ac:dyDescent="0.25">
      <c r="N62" s="59"/>
      <c r="O62" s="59"/>
    </row>
    <row r="63" spans="1:15" ht="15" x14ac:dyDescent="0.25">
      <c r="M63" s="59"/>
      <c r="N63" s="59"/>
      <c r="O63" s="5"/>
    </row>
    <row r="64" spans="1:15" x14ac:dyDescent="0.25">
      <c r="L64" s="59"/>
      <c r="N64" s="59"/>
      <c r="O64" s="59"/>
    </row>
    <row r="65" spans="12:15" ht="15" x14ac:dyDescent="0.25">
      <c r="N65" s="59"/>
      <c r="O65" s="5"/>
    </row>
    <row r="66" spans="12:15" x14ac:dyDescent="0.25">
      <c r="N66" s="59"/>
      <c r="O66" s="59"/>
    </row>
    <row r="67" spans="12:15" x14ac:dyDescent="0.25">
      <c r="N67" s="59"/>
    </row>
    <row r="68" spans="12:15" x14ac:dyDescent="0.25">
      <c r="M68" s="59"/>
      <c r="N68" s="59"/>
      <c r="O68" s="59"/>
    </row>
    <row r="69" spans="12:15" ht="15" x14ac:dyDescent="0.25">
      <c r="N69" s="59"/>
      <c r="O69" s="5"/>
    </row>
    <row r="70" spans="12:15" x14ac:dyDescent="0.25">
      <c r="N70" s="59"/>
      <c r="O70" s="59"/>
    </row>
    <row r="71" spans="12:15" ht="15" x14ac:dyDescent="0.25">
      <c r="L71" s="59"/>
      <c r="N71" s="59"/>
      <c r="O71" s="5"/>
    </row>
    <row r="72" spans="12:15" ht="15" x14ac:dyDescent="0.25">
      <c r="M72" s="58"/>
      <c r="N72" s="59"/>
      <c r="O72" s="59"/>
    </row>
    <row r="73" spans="12:15" ht="15" x14ac:dyDescent="0.25">
      <c r="M73" s="59"/>
      <c r="N73" s="59"/>
      <c r="O73" s="5"/>
    </row>
    <row r="74" spans="12:15" x14ac:dyDescent="0.25">
      <c r="N74" s="59"/>
      <c r="O74" s="59"/>
    </row>
    <row r="75" spans="12:15" x14ac:dyDescent="0.25">
      <c r="N75" s="59"/>
    </row>
    <row r="76" spans="12:15" x14ac:dyDescent="0.25">
      <c r="N76" s="59"/>
      <c r="O76" s="59"/>
    </row>
    <row r="77" spans="12:15" ht="15" x14ac:dyDescent="0.25">
      <c r="L77" s="59"/>
      <c r="N77" s="59"/>
      <c r="O77" s="5"/>
    </row>
    <row r="78" spans="12:15" x14ac:dyDescent="0.25">
      <c r="M78" s="59"/>
      <c r="N78" s="59"/>
      <c r="O78" s="59"/>
    </row>
    <row r="79" spans="12:15" ht="15" x14ac:dyDescent="0.25">
      <c r="N79" s="59"/>
      <c r="O79" s="5"/>
    </row>
    <row r="80" spans="12:15" x14ac:dyDescent="0.25">
      <c r="N80" s="59"/>
      <c r="O80" s="59"/>
    </row>
    <row r="81" spans="12:15" ht="15" x14ac:dyDescent="0.25">
      <c r="N81" s="59"/>
      <c r="O81" s="5"/>
    </row>
    <row r="82" spans="12:15" x14ac:dyDescent="0.25">
      <c r="N82" s="59"/>
      <c r="O82" s="59"/>
    </row>
    <row r="83" spans="12:15" x14ac:dyDescent="0.25">
      <c r="L83" s="59"/>
      <c r="M83" s="59"/>
      <c r="N83" s="59"/>
    </row>
    <row r="84" spans="12:15" x14ac:dyDescent="0.25">
      <c r="N84" s="59"/>
      <c r="O84" s="59"/>
    </row>
    <row r="85" spans="12:15" ht="15" x14ac:dyDescent="0.25">
      <c r="N85" s="59"/>
      <c r="O85" s="5"/>
    </row>
    <row r="86" spans="12:15" x14ac:dyDescent="0.25">
      <c r="N86" s="59"/>
      <c r="O86" s="59"/>
    </row>
    <row r="87" spans="12:15" ht="15" x14ac:dyDescent="0.25">
      <c r="N87" s="59"/>
      <c r="O87" s="5"/>
    </row>
    <row r="88" spans="12:15" x14ac:dyDescent="0.25">
      <c r="M88" s="59"/>
      <c r="N88" s="59"/>
      <c r="O88" s="59"/>
    </row>
    <row r="89" spans="12:15" ht="15" x14ac:dyDescent="0.25">
      <c r="L89" s="59"/>
      <c r="N89" s="59"/>
      <c r="O89" s="5"/>
    </row>
    <row r="90" spans="12:15" x14ac:dyDescent="0.25">
      <c r="N90" s="59"/>
      <c r="O90" s="59"/>
    </row>
    <row r="91" spans="12:15" x14ac:dyDescent="0.25">
      <c r="N91" s="59"/>
    </row>
    <row r="92" spans="12:15" x14ac:dyDescent="0.25">
      <c r="N92" s="59"/>
      <c r="O92" s="59"/>
    </row>
    <row r="93" spans="12:15" ht="15" x14ac:dyDescent="0.25">
      <c r="M93" s="59"/>
      <c r="N93" s="59"/>
      <c r="O93" s="5"/>
    </row>
    <row r="94" spans="12:15" x14ac:dyDescent="0.25">
      <c r="N94" s="59"/>
      <c r="O94" s="59"/>
    </row>
    <row r="95" spans="12:15" ht="15" x14ac:dyDescent="0.25">
      <c r="N95" s="59"/>
      <c r="O95" s="5"/>
    </row>
    <row r="96" spans="12:15" x14ac:dyDescent="0.25">
      <c r="L96" s="59"/>
      <c r="N96" s="59"/>
      <c r="O96" s="59"/>
    </row>
    <row r="97" spans="12:15" ht="15" x14ac:dyDescent="0.25">
      <c r="N97" s="59"/>
      <c r="O97" s="5"/>
    </row>
    <row r="98" spans="12:15" x14ac:dyDescent="0.25">
      <c r="M98" s="59"/>
      <c r="N98" s="59"/>
      <c r="O98" s="59"/>
    </row>
    <row r="99" spans="12:15" x14ac:dyDescent="0.25">
      <c r="N99" s="59"/>
    </row>
    <row r="100" spans="12:15" x14ac:dyDescent="0.25">
      <c r="N100" s="59"/>
      <c r="O100" s="59"/>
    </row>
    <row r="101" spans="12:15" ht="15" x14ac:dyDescent="0.25">
      <c r="N101" s="59"/>
      <c r="O101" s="5"/>
    </row>
    <row r="102" spans="12:15" x14ac:dyDescent="0.25">
      <c r="L102" s="59"/>
      <c r="N102" s="59"/>
      <c r="O102" s="59"/>
    </row>
    <row r="103" spans="12:15" ht="15" x14ac:dyDescent="0.25">
      <c r="M103" s="59"/>
      <c r="N103" s="59"/>
      <c r="O103" s="5"/>
    </row>
    <row r="104" spans="12:15" x14ac:dyDescent="0.25">
      <c r="N104" s="59"/>
      <c r="O104" s="59"/>
    </row>
    <row r="105" spans="12:15" ht="15" x14ac:dyDescent="0.25">
      <c r="N105" s="59"/>
      <c r="O105" s="5"/>
    </row>
    <row r="106" spans="12:15" x14ac:dyDescent="0.25">
      <c r="N106" s="59"/>
      <c r="O106" s="59"/>
    </row>
    <row r="107" spans="12:15" x14ac:dyDescent="0.25">
      <c r="N107" s="59"/>
    </row>
    <row r="108" spans="12:15" x14ac:dyDescent="0.25">
      <c r="L108" s="59"/>
      <c r="M108" s="59"/>
      <c r="N108" s="59"/>
      <c r="O108" s="59"/>
    </row>
    <row r="109" spans="12:15" ht="15" x14ac:dyDescent="0.25">
      <c r="N109" s="59"/>
      <c r="O109" s="5"/>
    </row>
    <row r="110" spans="12:15" x14ac:dyDescent="0.25">
      <c r="N110" s="59"/>
      <c r="O110" s="59"/>
    </row>
    <row r="111" spans="12:15" ht="15" x14ac:dyDescent="0.25">
      <c r="N111" s="59"/>
      <c r="O111" s="5"/>
    </row>
    <row r="112" spans="12:15" x14ac:dyDescent="0.25">
      <c r="N112" s="59"/>
      <c r="O112" s="59"/>
    </row>
    <row r="113" spans="12:15" ht="15" x14ac:dyDescent="0.25">
      <c r="M113" s="59"/>
      <c r="N113" s="59"/>
      <c r="O113" s="5"/>
    </row>
    <row r="114" spans="12:15" x14ac:dyDescent="0.25">
      <c r="L114" s="59"/>
      <c r="N114" s="59"/>
      <c r="O114" s="59"/>
    </row>
    <row r="115" spans="12:15" x14ac:dyDescent="0.25">
      <c r="N115" s="59"/>
    </row>
    <row r="116" spans="12:15" x14ac:dyDescent="0.25">
      <c r="N116" s="59"/>
      <c r="O116" s="59"/>
    </row>
    <row r="117" spans="12:15" ht="15" x14ac:dyDescent="0.25">
      <c r="N117" s="59"/>
      <c r="O117" s="5"/>
    </row>
    <row r="118" spans="12:15" x14ac:dyDescent="0.25">
      <c r="M118" s="59"/>
      <c r="N118" s="59"/>
      <c r="O118" s="59"/>
    </row>
    <row r="119" spans="12:15" ht="15" x14ac:dyDescent="0.25">
      <c r="N119" s="59"/>
      <c r="O119" s="5"/>
    </row>
    <row r="120" spans="12:15" x14ac:dyDescent="0.25">
      <c r="N120" s="59"/>
      <c r="O120" s="59"/>
    </row>
    <row r="121" spans="12:15" ht="15" x14ac:dyDescent="0.25">
      <c r="L121" s="59"/>
      <c r="N121" s="59"/>
      <c r="O121" s="5"/>
    </row>
    <row r="122" spans="12:15" x14ac:dyDescent="0.25">
      <c r="N122" s="59"/>
      <c r="O122" s="59"/>
    </row>
    <row r="123" spans="12:15" x14ac:dyDescent="0.25">
      <c r="M123" s="59"/>
      <c r="N123" s="59"/>
    </row>
    <row r="124" spans="12:15" x14ac:dyDescent="0.25">
      <c r="N124" s="59"/>
      <c r="O124" s="59"/>
    </row>
    <row r="125" spans="12:15" ht="15" x14ac:dyDescent="0.25">
      <c r="N125" s="59"/>
      <c r="O125" s="5"/>
    </row>
    <row r="126" spans="12:15" x14ac:dyDescent="0.25">
      <c r="N126" s="59"/>
      <c r="O126" s="59"/>
    </row>
    <row r="127" spans="12:15" ht="15" x14ac:dyDescent="0.25">
      <c r="L127" s="59"/>
      <c r="N127" s="59"/>
      <c r="O127" s="5"/>
    </row>
    <row r="128" spans="12:15" x14ac:dyDescent="0.25">
      <c r="M128" s="59"/>
      <c r="N128" s="59"/>
      <c r="O128" s="59"/>
    </row>
    <row r="129" spans="12:15" ht="15" x14ac:dyDescent="0.25">
      <c r="N129" s="59"/>
      <c r="O129" s="5"/>
    </row>
    <row r="130" spans="12:15" x14ac:dyDescent="0.25">
      <c r="N130" s="59"/>
      <c r="O130" s="59"/>
    </row>
    <row r="131" spans="12:15" x14ac:dyDescent="0.25">
      <c r="N131" s="59"/>
    </row>
    <row r="132" spans="12:15" x14ac:dyDescent="0.25">
      <c r="N132" s="59"/>
      <c r="O132" s="59"/>
    </row>
    <row r="133" spans="12:15" ht="15" x14ac:dyDescent="0.25">
      <c r="L133" s="59"/>
      <c r="M133" s="59"/>
      <c r="N133" s="59"/>
      <c r="O133" s="5"/>
    </row>
    <row r="134" spans="12:15" x14ac:dyDescent="0.25">
      <c r="N134" s="59"/>
      <c r="O134" s="59"/>
    </row>
    <row r="135" spans="12:15" ht="15" x14ac:dyDescent="0.25">
      <c r="N135" s="59"/>
      <c r="O135" s="5"/>
    </row>
    <row r="136" spans="12:15" x14ac:dyDescent="0.25">
      <c r="N136" s="59"/>
      <c r="O136" s="59"/>
    </row>
    <row r="137" spans="12:15" ht="15" x14ac:dyDescent="0.25">
      <c r="N137" s="59"/>
      <c r="O137" s="5"/>
    </row>
    <row r="138" spans="12:15" x14ac:dyDescent="0.25">
      <c r="M138" s="59"/>
      <c r="N138" s="59"/>
      <c r="O138" s="59"/>
    </row>
    <row r="139" spans="12:15" x14ac:dyDescent="0.25">
      <c r="L139" s="59"/>
      <c r="N139" s="59"/>
    </row>
    <row r="140" spans="12:15" x14ac:dyDescent="0.25">
      <c r="N140" s="59"/>
      <c r="O140" s="59"/>
    </row>
    <row r="141" spans="12:15" ht="15" x14ac:dyDescent="0.25">
      <c r="N141" s="59"/>
      <c r="O141" s="5"/>
    </row>
    <row r="142" spans="12:15" x14ac:dyDescent="0.25">
      <c r="N142" s="59"/>
      <c r="O142" s="59"/>
    </row>
    <row r="143" spans="12:15" ht="15" x14ac:dyDescent="0.25">
      <c r="M143" s="59"/>
      <c r="N143" s="59"/>
      <c r="O143" s="5"/>
    </row>
    <row r="144" spans="12:15" x14ac:dyDescent="0.25">
      <c r="N144" s="59"/>
      <c r="O144" s="59"/>
    </row>
    <row r="145" spans="12:15" ht="15" x14ac:dyDescent="0.25">
      <c r="N145" s="59"/>
      <c r="O145" s="5"/>
    </row>
    <row r="146" spans="12:15" x14ac:dyDescent="0.25">
      <c r="L146" s="59"/>
      <c r="N146" s="59"/>
      <c r="O146" s="59"/>
    </row>
    <row r="147" spans="12:15" x14ac:dyDescent="0.25">
      <c r="N147" s="59"/>
    </row>
    <row r="148" spans="12:15" x14ac:dyDescent="0.25">
      <c r="M148" s="59"/>
      <c r="N148" s="59"/>
      <c r="O148" s="59"/>
    </row>
    <row r="149" spans="12:15" ht="15" x14ac:dyDescent="0.25">
      <c r="N149" s="59"/>
      <c r="O149" s="5"/>
    </row>
    <row r="150" spans="12:15" x14ac:dyDescent="0.25">
      <c r="N150" s="59"/>
      <c r="O150" s="59"/>
    </row>
    <row r="151" spans="12:15" ht="15" x14ac:dyDescent="0.25">
      <c r="N151" s="59"/>
      <c r="O151" s="5"/>
    </row>
    <row r="152" spans="12:15" x14ac:dyDescent="0.25">
      <c r="L152" s="59"/>
      <c r="N152" s="59"/>
      <c r="O152" s="59"/>
    </row>
    <row r="153" spans="12:15" ht="15" x14ac:dyDescent="0.25">
      <c r="M153" s="59"/>
      <c r="N153" s="59"/>
      <c r="O153" s="5"/>
    </row>
    <row r="154" spans="12:15" x14ac:dyDescent="0.25">
      <c r="N154" s="59"/>
      <c r="O154" s="59"/>
    </row>
    <row r="155" spans="12:15" ht="15" x14ac:dyDescent="0.25">
      <c r="N155" s="59"/>
      <c r="O155" s="5"/>
    </row>
    <row r="156" spans="12:15" x14ac:dyDescent="0.25">
      <c r="N156" s="59"/>
      <c r="O156" s="59"/>
    </row>
    <row r="157" spans="12:15" ht="15" x14ac:dyDescent="0.25">
      <c r="N157" s="59"/>
      <c r="O157" s="5"/>
    </row>
    <row r="158" spans="12:15" x14ac:dyDescent="0.25">
      <c r="L158" s="59"/>
      <c r="M158" s="59"/>
      <c r="N158" s="59"/>
      <c r="O158" s="59"/>
    </row>
    <row r="159" spans="12:15" x14ac:dyDescent="0.25">
      <c r="L159" s="55"/>
      <c r="M159" s="55"/>
      <c r="N159" s="55"/>
      <c r="O159" s="55"/>
    </row>
  </sheetData>
  <mergeCells count="3">
    <mergeCell ref="E6:F6"/>
    <mergeCell ref="A55:F56"/>
    <mergeCell ref="E7:F7"/>
  </mergeCell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zoomScale="85" zoomScaleNormal="85" workbookViewId="0">
      <selection activeCell="A21" sqref="A21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1" width="9.140625" style="1"/>
    <col min="12" max="12" width="14" style="1" bestFit="1" customWidth="1"/>
    <col min="13" max="13" width="17.140625" style="1" bestFit="1" customWidth="1"/>
    <col min="14" max="14" width="13.140625" style="1" bestFit="1" customWidth="1"/>
    <col min="15" max="15" width="11.42578125" style="1" bestFit="1" customWidth="1"/>
    <col min="16" max="16384" width="9.140625" style="1"/>
  </cols>
  <sheetData>
    <row r="1" spans="1:13" x14ac:dyDescent="0.2">
      <c r="C1" s="46" t="s">
        <v>25</v>
      </c>
      <c r="D1" s="47"/>
      <c r="E1" s="46" t="s">
        <v>46</v>
      </c>
      <c r="F1" s="48"/>
      <c r="G1" s="47"/>
    </row>
    <row r="2" spans="1:13" x14ac:dyDescent="0.2">
      <c r="C2" s="46" t="s">
        <v>26</v>
      </c>
      <c r="D2" s="47"/>
      <c r="E2" s="49" t="s">
        <v>37</v>
      </c>
      <c r="F2" s="48"/>
      <c r="G2" s="47"/>
    </row>
    <row r="3" spans="1:13" x14ac:dyDescent="0.2">
      <c r="C3" s="46" t="s">
        <v>27</v>
      </c>
      <c r="D3" s="47"/>
      <c r="E3" s="49" t="s">
        <v>55</v>
      </c>
      <c r="F3" s="48"/>
      <c r="G3" s="47"/>
    </row>
    <row r="4" spans="1:13" x14ac:dyDescent="0.2">
      <c r="C4" s="46" t="s">
        <v>28</v>
      </c>
      <c r="D4" s="47"/>
      <c r="E4" s="49" t="s">
        <v>54</v>
      </c>
      <c r="F4" s="48"/>
      <c r="G4" s="47"/>
    </row>
    <row r="5" spans="1:13" x14ac:dyDescent="0.2">
      <c r="C5" s="46" t="s">
        <v>29</v>
      </c>
      <c r="D5" s="47"/>
      <c r="E5" s="47" t="s">
        <v>31</v>
      </c>
      <c r="F5" s="48"/>
      <c r="G5" s="47"/>
    </row>
    <row r="6" spans="1:13" x14ac:dyDescent="0.2">
      <c r="C6" s="46" t="s">
        <v>30</v>
      </c>
      <c r="D6" s="47"/>
      <c r="E6" s="81">
        <v>41726</v>
      </c>
      <c r="F6" s="81"/>
      <c r="G6" s="47"/>
    </row>
    <row r="7" spans="1:13" ht="15" x14ac:dyDescent="0.25">
      <c r="C7" s="46" t="s">
        <v>68</v>
      </c>
      <c r="E7" s="84">
        <v>0</v>
      </c>
      <c r="F7" s="84"/>
    </row>
    <row r="8" spans="1:13" ht="18" x14ac:dyDescent="0.25">
      <c r="A8" s="3" t="s">
        <v>32</v>
      </c>
    </row>
    <row r="9" spans="1:13" ht="15.75" x14ac:dyDescent="0.25">
      <c r="A9" s="35" t="s">
        <v>15</v>
      </c>
      <c r="B9" s="36"/>
      <c r="C9" s="41"/>
      <c r="D9" s="36"/>
      <c r="E9" s="36"/>
      <c r="F9" s="42"/>
    </row>
    <row r="10" spans="1:13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  <c r="J10" s="58"/>
      <c r="K10" s="58"/>
      <c r="L10" s="58"/>
      <c r="M10" s="58"/>
    </row>
    <row r="11" spans="1:13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0.75800000000000001</v>
      </c>
      <c r="J11" s="1"/>
      <c r="K11" s="1"/>
      <c r="L11" s="1"/>
      <c r="M11" s="1"/>
    </row>
    <row r="12" spans="1:13" s="5" customFormat="1" ht="15" x14ac:dyDescent="0.25">
      <c r="A12" s="8">
        <v>2</v>
      </c>
      <c r="B12" s="9" t="s">
        <v>19</v>
      </c>
      <c r="C12" s="10"/>
      <c r="D12" s="14"/>
      <c r="E12" s="11"/>
      <c r="F12" s="12">
        <v>3.6030000000000002</v>
      </c>
      <c r="J12" s="1"/>
      <c r="K12" s="1"/>
      <c r="L12" s="1"/>
      <c r="M12" s="1"/>
    </row>
    <row r="13" spans="1:13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9.0169999999999995</v>
      </c>
      <c r="J13" s="1"/>
      <c r="K13" s="1"/>
      <c r="L13" s="1"/>
      <c r="M13" s="1"/>
    </row>
    <row r="14" spans="1:13" x14ac:dyDescent="0.25">
      <c r="A14" s="8">
        <v>4</v>
      </c>
      <c r="B14" s="9" t="s">
        <v>44</v>
      </c>
      <c r="C14" s="10"/>
      <c r="D14" s="14"/>
      <c r="E14" s="11"/>
      <c r="F14" s="12">
        <v>0.215</v>
      </c>
    </row>
    <row r="15" spans="1:13" x14ac:dyDescent="0.25">
      <c r="A15" s="8">
        <v>5</v>
      </c>
      <c r="B15" s="9" t="s">
        <v>18</v>
      </c>
      <c r="C15" s="10"/>
      <c r="D15" s="9"/>
      <c r="E15" s="11"/>
      <c r="F15" s="12">
        <v>2.6219999999999999</v>
      </c>
    </row>
    <row r="16" spans="1:13" s="5" customFormat="1" ht="15" x14ac:dyDescent="0.25">
      <c r="A16" s="8">
        <v>6</v>
      </c>
      <c r="B16" s="9" t="s">
        <v>20</v>
      </c>
      <c r="C16" s="10"/>
      <c r="D16" s="14"/>
      <c r="E16" s="11"/>
      <c r="F16" s="12">
        <v>0.53200000000000003</v>
      </c>
      <c r="J16" s="1"/>
      <c r="K16" s="1"/>
      <c r="L16" s="1"/>
      <c r="M16" s="1"/>
    </row>
    <row r="17" spans="1:13" x14ac:dyDescent="0.25">
      <c r="A17" s="8">
        <v>7</v>
      </c>
      <c r="B17" s="9" t="s">
        <v>21</v>
      </c>
      <c r="C17" s="10"/>
      <c r="D17" s="9"/>
      <c r="E17" s="11"/>
      <c r="F17" s="12">
        <v>0.81</v>
      </c>
    </row>
    <row r="18" spans="1:13" s="5" customFormat="1" ht="15" x14ac:dyDescent="0.25">
      <c r="A18" s="8">
        <v>8</v>
      </c>
      <c r="B18" s="9" t="s">
        <v>61</v>
      </c>
      <c r="C18" s="10"/>
      <c r="D18" s="14"/>
      <c r="E18" s="11"/>
      <c r="F18" s="12">
        <v>0.85</v>
      </c>
      <c r="J18" s="1"/>
      <c r="K18" s="1"/>
      <c r="L18" s="1"/>
      <c r="M18" s="1"/>
    </row>
    <row r="19" spans="1:13" s="5" customFormat="1" ht="15" x14ac:dyDescent="0.25">
      <c r="A19" s="8">
        <v>9</v>
      </c>
      <c r="B19" s="9" t="s">
        <v>22</v>
      </c>
      <c r="C19" s="10"/>
      <c r="D19" s="14"/>
      <c r="E19" s="11"/>
      <c r="F19" s="12">
        <v>4.4999999999999998E-2</v>
      </c>
      <c r="J19" s="1"/>
      <c r="K19" s="1"/>
      <c r="L19" s="1"/>
      <c r="M19" s="1"/>
    </row>
    <row r="20" spans="1:13" s="5" customFormat="1" ht="15" x14ac:dyDescent="0.25">
      <c r="A20" s="8">
        <v>10</v>
      </c>
      <c r="B20" s="9" t="s">
        <v>5</v>
      </c>
      <c r="C20" s="10"/>
      <c r="D20" s="10"/>
      <c r="E20" s="11"/>
      <c r="F20" s="12">
        <v>10.02</v>
      </c>
      <c r="J20" s="1"/>
      <c r="K20" s="1"/>
      <c r="L20" s="1"/>
      <c r="M20" s="1"/>
    </row>
    <row r="21" spans="1:13" x14ac:dyDescent="0.25">
      <c r="A21" s="16" t="s">
        <v>82</v>
      </c>
      <c r="B21" s="13"/>
      <c r="C21" s="17"/>
      <c r="D21" s="13"/>
      <c r="E21" s="13"/>
      <c r="F21" s="18"/>
    </row>
    <row r="22" spans="1:13" s="4" customFormat="1" ht="15" customHeight="1" x14ac:dyDescent="0.25">
      <c r="A22" s="19" t="s">
        <v>6</v>
      </c>
      <c r="B22" s="20"/>
      <c r="C22" s="21"/>
      <c r="D22" s="20"/>
      <c r="E22" s="20"/>
      <c r="F22" s="22">
        <f>SUBTOTAL(9,F11:F21)</f>
        <v>28.472000000000001</v>
      </c>
      <c r="J22" s="58"/>
      <c r="K22" s="58"/>
      <c r="L22" s="58"/>
      <c r="M22" s="58"/>
    </row>
    <row r="23" spans="1:13" s="4" customFormat="1" ht="15.75" x14ac:dyDescent="0.25">
      <c r="A23" s="16"/>
      <c r="B23" s="13"/>
      <c r="C23" s="17"/>
      <c r="D23" s="13"/>
      <c r="E23" s="13"/>
      <c r="F23" s="18"/>
      <c r="J23" s="58"/>
      <c r="K23" s="58"/>
      <c r="L23" s="58"/>
      <c r="M23" s="58"/>
    </row>
    <row r="24" spans="1:13" s="4" customFormat="1" ht="15.75" x14ac:dyDescent="0.25">
      <c r="A24" s="8"/>
      <c r="B24" s="9" t="s">
        <v>23</v>
      </c>
      <c r="C24" s="10"/>
      <c r="D24" s="10"/>
      <c r="E24" s="11"/>
      <c r="F24" s="12">
        <f>F22*0.1</f>
        <v>2.8472000000000004</v>
      </c>
      <c r="J24" s="58"/>
      <c r="K24" s="58"/>
      <c r="L24" s="58"/>
      <c r="M24" s="58"/>
    </row>
    <row r="25" spans="1:13" s="5" customFormat="1" ht="15" x14ac:dyDescent="0.25">
      <c r="A25" s="8"/>
      <c r="B25" s="9" t="s">
        <v>45</v>
      </c>
      <c r="C25" s="10"/>
      <c r="D25" s="9"/>
      <c r="E25" s="9"/>
      <c r="F25" s="12">
        <f>SUM(F22:F24)*0.25</f>
        <v>7.8298000000000005</v>
      </c>
      <c r="J25" s="1"/>
      <c r="K25" s="58"/>
      <c r="L25" s="58"/>
      <c r="M25" s="1"/>
    </row>
    <row r="26" spans="1:13" s="5" customFormat="1" ht="15" x14ac:dyDescent="0.25">
      <c r="A26" s="16"/>
      <c r="B26" s="13"/>
      <c r="C26" s="17"/>
      <c r="D26" s="13"/>
      <c r="E26" s="13"/>
      <c r="F26" s="18"/>
      <c r="J26" s="1"/>
      <c r="K26" s="58"/>
      <c r="L26" s="58"/>
      <c r="M26" s="1"/>
    </row>
    <row r="27" spans="1:13" ht="15" x14ac:dyDescent="0.25">
      <c r="A27" s="50" t="s">
        <v>16</v>
      </c>
      <c r="B27" s="51"/>
      <c r="C27" s="52"/>
      <c r="D27" s="51"/>
      <c r="E27" s="51"/>
      <c r="F27" s="53">
        <f>SUM(F22:F26)</f>
        <v>39.149000000000001</v>
      </c>
      <c r="K27" s="58"/>
      <c r="L27" s="58"/>
    </row>
    <row r="28" spans="1:13" ht="15" x14ac:dyDescent="0.25">
      <c r="E28" s="6"/>
      <c r="K28" s="58"/>
      <c r="L28" s="58"/>
    </row>
    <row r="29" spans="1:13" ht="15.75" x14ac:dyDescent="0.25">
      <c r="A29" s="35" t="s">
        <v>7</v>
      </c>
      <c r="B29" s="36"/>
      <c r="C29" s="37"/>
      <c r="D29" s="38"/>
      <c r="E29" s="39" t="s">
        <v>47</v>
      </c>
      <c r="F29" s="40">
        <v>2.5000000000000001E-2</v>
      </c>
    </row>
    <row r="30" spans="1:13" s="4" customFormat="1" ht="30" x14ac:dyDescent="0.25">
      <c r="A30" s="23" t="s">
        <v>1</v>
      </c>
      <c r="B30" s="24" t="s">
        <v>2</v>
      </c>
      <c r="C30" s="26" t="s">
        <v>14</v>
      </c>
      <c r="D30" s="26" t="s">
        <v>9</v>
      </c>
      <c r="E30" s="26" t="s">
        <v>13</v>
      </c>
      <c r="F30" s="27" t="s">
        <v>0</v>
      </c>
      <c r="I30" s="5"/>
      <c r="J30" s="58"/>
      <c r="K30" s="58"/>
      <c r="L30" s="58"/>
      <c r="M30" s="58"/>
    </row>
    <row r="31" spans="1:13" s="5" customFormat="1" ht="15" x14ac:dyDescent="0.25">
      <c r="A31" s="8">
        <v>1</v>
      </c>
      <c r="B31" s="9" t="s">
        <v>10</v>
      </c>
      <c r="C31" s="28"/>
      <c r="D31" s="28"/>
      <c r="E31" s="11"/>
      <c r="F31" s="12">
        <f>SUBTOTAL(9,F32:F33)</f>
        <v>1.6340739571739724</v>
      </c>
    </row>
    <row r="32" spans="1:13" x14ac:dyDescent="0.25">
      <c r="A32" s="29">
        <f>A31+0.1</f>
        <v>1.1000000000000001</v>
      </c>
      <c r="B32" s="13" t="s">
        <v>8</v>
      </c>
      <c r="C32" s="30">
        <v>15000</v>
      </c>
      <c r="D32" s="31">
        <v>1</v>
      </c>
      <c r="E32" s="31">
        <v>100</v>
      </c>
      <c r="F32" s="32">
        <f>$C32*((1+$F$29)^$E32-1)/(((1+$F$29)^D32-1)*(1+$F$29)^$E32)/1000000</f>
        <v>0.54921157896718642</v>
      </c>
      <c r="H32" s="7"/>
    </row>
    <row r="33" spans="1:15" x14ac:dyDescent="0.25">
      <c r="A33" s="29">
        <f>A32+0.1</f>
        <v>1.2000000000000002</v>
      </c>
      <c r="B33" s="13" t="s">
        <v>11</v>
      </c>
      <c r="C33" s="30">
        <v>60000</v>
      </c>
      <c r="D33" s="31">
        <v>2</v>
      </c>
      <c r="E33" s="31">
        <v>100</v>
      </c>
      <c r="F33" s="32">
        <f>$C33*((1+$F$29)^$E33-1)/(((1+$F$29)^D33-1)*(1+$F$29)^$E33)/1000000</f>
        <v>1.0848623782067861</v>
      </c>
      <c r="H33" s="7"/>
    </row>
    <row r="34" spans="1:15" x14ac:dyDescent="0.25">
      <c r="A34" s="19" t="s">
        <v>6</v>
      </c>
      <c r="B34" s="20"/>
      <c r="C34" s="21"/>
      <c r="D34" s="20"/>
      <c r="E34" s="20"/>
      <c r="F34" s="22">
        <f>SUBTOTAL(9,F31:F33)</f>
        <v>1.6340739571739724</v>
      </c>
      <c r="G34" s="57"/>
      <c r="H34" s="7"/>
    </row>
    <row r="35" spans="1:15" x14ac:dyDescent="0.25">
      <c r="A35" s="16"/>
      <c r="B35" s="13"/>
      <c r="C35" s="17"/>
      <c r="D35" s="13"/>
      <c r="E35" s="13"/>
      <c r="F35" s="18"/>
    </row>
    <row r="36" spans="1:15" s="5" customFormat="1" ht="15" x14ac:dyDescent="0.25">
      <c r="A36" s="50" t="str">
        <f>"Total Estimated Operational Costs (Over " &amp; TEXT(100,"0") &amp; "-Year Period)"</f>
        <v>Total Estimated Operational Costs (Over 100-Year Period)</v>
      </c>
      <c r="B36" s="51"/>
      <c r="C36" s="52"/>
      <c r="D36" s="51"/>
      <c r="E36" s="51"/>
      <c r="F36" s="53">
        <f>SUM(F34:F35)</f>
        <v>1.6340739571739724</v>
      </c>
    </row>
    <row r="37" spans="1:15" s="5" customFormat="1" ht="15" x14ac:dyDescent="0.25">
      <c r="A37" s="50" t="s">
        <v>34</v>
      </c>
      <c r="B37" s="51"/>
      <c r="C37" s="52"/>
      <c r="D37" s="51"/>
      <c r="E37" s="51"/>
      <c r="F37" s="56">
        <f>F36*F29*(1+F29)^100/((1+F29)^100-1)</f>
        <v>4.4629629629629734E-2</v>
      </c>
    </row>
    <row r="39" spans="1:15" s="5" customFormat="1" ht="15.75" x14ac:dyDescent="0.25">
      <c r="A39" s="35" t="str">
        <f>"Total Estimated Lifecycle Costs (Over " &amp; TEXT(100,"0") &amp; "-Year Period)"</f>
        <v>Total Estimated Lifecycle Costs (Over 100-Year Period)</v>
      </c>
      <c r="B39" s="43"/>
      <c r="C39" s="44"/>
      <c r="D39" s="43"/>
      <c r="E39" s="43"/>
      <c r="F39" s="45">
        <f>F27+F36</f>
        <v>40.783073957173976</v>
      </c>
    </row>
    <row r="40" spans="1:15" x14ac:dyDescent="0.25">
      <c r="A40" s="82" t="s">
        <v>66</v>
      </c>
      <c r="B40" s="82"/>
      <c r="C40" s="82"/>
      <c r="D40" s="82"/>
      <c r="E40" s="82"/>
      <c r="F40" s="82"/>
    </row>
    <row r="41" spans="1:15" s="4" customFormat="1" ht="15.75" x14ac:dyDescent="0.25">
      <c r="A41" s="83"/>
      <c r="B41" s="83"/>
      <c r="C41" s="83"/>
      <c r="D41" s="83"/>
      <c r="E41" s="83"/>
      <c r="F41" s="83"/>
      <c r="G41" s="57"/>
      <c r="J41" s="1"/>
      <c r="K41" s="1"/>
      <c r="L41" s="1"/>
      <c r="M41" s="1"/>
      <c r="N41" s="59"/>
      <c r="O41" s="5"/>
    </row>
    <row r="42" spans="1:15" x14ac:dyDescent="0.25">
      <c r="C42" s="54"/>
      <c r="N42" s="59"/>
    </row>
    <row r="43" spans="1:15" x14ac:dyDescent="0.25">
      <c r="C43" s="54"/>
      <c r="N43" s="59"/>
      <c r="O43" s="59"/>
    </row>
    <row r="44" spans="1:15" ht="15" x14ac:dyDescent="0.25">
      <c r="N44" s="59"/>
      <c r="O44" s="5"/>
    </row>
    <row r="45" spans="1:15" x14ac:dyDescent="0.25">
      <c r="N45" s="59"/>
      <c r="O45" s="59"/>
    </row>
    <row r="46" spans="1:15" ht="15" x14ac:dyDescent="0.25">
      <c r="M46" s="59"/>
      <c r="N46" s="59"/>
      <c r="O46" s="5"/>
    </row>
    <row r="47" spans="1:15" x14ac:dyDescent="0.25">
      <c r="L47" s="59"/>
      <c r="N47" s="59"/>
      <c r="O47" s="59"/>
    </row>
    <row r="48" spans="1:15" ht="15" x14ac:dyDescent="0.25">
      <c r="N48" s="59"/>
      <c r="O48" s="5"/>
    </row>
    <row r="49" spans="12:15" x14ac:dyDescent="0.25">
      <c r="N49" s="59"/>
      <c r="O49" s="59"/>
    </row>
    <row r="50" spans="12:15" x14ac:dyDescent="0.25">
      <c r="N50" s="59"/>
    </row>
    <row r="51" spans="12:15" x14ac:dyDescent="0.25">
      <c r="M51" s="59"/>
      <c r="N51" s="59"/>
      <c r="O51" s="59"/>
    </row>
    <row r="52" spans="12:15" ht="15" x14ac:dyDescent="0.25">
      <c r="N52" s="59"/>
      <c r="O52" s="5"/>
    </row>
    <row r="53" spans="12:15" x14ac:dyDescent="0.25">
      <c r="N53" s="59"/>
      <c r="O53" s="59"/>
    </row>
    <row r="54" spans="12:15" ht="15" x14ac:dyDescent="0.25">
      <c r="L54" s="59"/>
      <c r="N54" s="59"/>
      <c r="O54" s="5"/>
    </row>
    <row r="55" spans="12:15" ht="15" x14ac:dyDescent="0.25">
      <c r="M55" s="58"/>
      <c r="N55" s="59"/>
      <c r="O55" s="59"/>
    </row>
    <row r="56" spans="12:15" ht="15" x14ac:dyDescent="0.25">
      <c r="M56" s="59"/>
      <c r="N56" s="59"/>
      <c r="O56" s="5"/>
    </row>
    <row r="57" spans="12:15" x14ac:dyDescent="0.25">
      <c r="N57" s="59"/>
      <c r="O57" s="59"/>
    </row>
    <row r="58" spans="12:15" x14ac:dyDescent="0.25">
      <c r="N58" s="59"/>
    </row>
    <row r="59" spans="12:15" x14ac:dyDescent="0.25">
      <c r="N59" s="59"/>
      <c r="O59" s="59"/>
    </row>
    <row r="60" spans="12:15" ht="15" x14ac:dyDescent="0.25">
      <c r="L60" s="59"/>
      <c r="N60" s="59"/>
      <c r="O60" s="5"/>
    </row>
    <row r="61" spans="12:15" x14ac:dyDescent="0.25">
      <c r="M61" s="59"/>
      <c r="N61" s="59"/>
      <c r="O61" s="59"/>
    </row>
    <row r="62" spans="12:15" ht="15" x14ac:dyDescent="0.25">
      <c r="N62" s="59"/>
      <c r="O62" s="5"/>
    </row>
    <row r="63" spans="12:15" x14ac:dyDescent="0.25">
      <c r="N63" s="59"/>
      <c r="O63" s="59"/>
    </row>
    <row r="64" spans="12:15" ht="15" x14ac:dyDescent="0.25">
      <c r="N64" s="59"/>
      <c r="O64" s="5"/>
    </row>
    <row r="65" spans="12:15" x14ac:dyDescent="0.25">
      <c r="N65" s="59"/>
      <c r="O65" s="59"/>
    </row>
    <row r="66" spans="12:15" x14ac:dyDescent="0.25">
      <c r="L66" s="59"/>
      <c r="M66" s="59"/>
      <c r="N66" s="59"/>
    </row>
    <row r="67" spans="12:15" x14ac:dyDescent="0.25">
      <c r="N67" s="59"/>
      <c r="O67" s="59"/>
    </row>
    <row r="68" spans="12:15" ht="15" x14ac:dyDescent="0.25">
      <c r="N68" s="59"/>
      <c r="O68" s="5"/>
    </row>
    <row r="69" spans="12:15" x14ac:dyDescent="0.25">
      <c r="N69" s="59"/>
      <c r="O69" s="59"/>
    </row>
    <row r="70" spans="12:15" ht="15" x14ac:dyDescent="0.25">
      <c r="N70" s="59"/>
      <c r="O70" s="5"/>
    </row>
    <row r="71" spans="12:15" x14ac:dyDescent="0.25">
      <c r="M71" s="59"/>
      <c r="N71" s="59"/>
      <c r="O71" s="59"/>
    </row>
    <row r="72" spans="12:15" ht="15" x14ac:dyDescent="0.25">
      <c r="L72" s="59"/>
      <c r="N72" s="59"/>
      <c r="O72" s="5"/>
    </row>
    <row r="73" spans="12:15" x14ac:dyDescent="0.25">
      <c r="N73" s="59"/>
      <c r="O73" s="59"/>
    </row>
    <row r="74" spans="12:15" x14ac:dyDescent="0.25">
      <c r="N74" s="59"/>
    </row>
    <row r="75" spans="12:15" x14ac:dyDescent="0.25">
      <c r="N75" s="59"/>
      <c r="O75" s="59"/>
    </row>
    <row r="76" spans="12:15" ht="15" x14ac:dyDescent="0.25">
      <c r="M76" s="59"/>
      <c r="N76" s="59"/>
      <c r="O76" s="5"/>
    </row>
    <row r="77" spans="12:15" x14ac:dyDescent="0.25">
      <c r="N77" s="59"/>
      <c r="O77" s="59"/>
    </row>
    <row r="78" spans="12:15" ht="15" x14ac:dyDescent="0.25">
      <c r="N78" s="59"/>
      <c r="O78" s="5"/>
    </row>
    <row r="79" spans="12:15" x14ac:dyDescent="0.25">
      <c r="L79" s="59"/>
      <c r="N79" s="59"/>
      <c r="O79" s="59"/>
    </row>
    <row r="80" spans="12:15" ht="15" x14ac:dyDescent="0.25">
      <c r="N80" s="59"/>
      <c r="O80" s="5"/>
    </row>
    <row r="81" spans="12:15" x14ac:dyDescent="0.25">
      <c r="M81" s="59"/>
      <c r="N81" s="59"/>
      <c r="O81" s="59"/>
    </row>
    <row r="82" spans="12:15" x14ac:dyDescent="0.25">
      <c r="N82" s="59"/>
    </row>
    <row r="83" spans="12:15" x14ac:dyDescent="0.25">
      <c r="N83" s="59"/>
      <c r="O83" s="59"/>
    </row>
    <row r="84" spans="12:15" ht="15" x14ac:dyDescent="0.25">
      <c r="N84" s="59"/>
      <c r="O84" s="5"/>
    </row>
    <row r="85" spans="12:15" x14ac:dyDescent="0.25">
      <c r="L85" s="59"/>
      <c r="N85" s="59"/>
      <c r="O85" s="59"/>
    </row>
    <row r="86" spans="12:15" ht="15" x14ac:dyDescent="0.25">
      <c r="M86" s="59"/>
      <c r="N86" s="59"/>
      <c r="O86" s="5"/>
    </row>
    <row r="87" spans="12:15" x14ac:dyDescent="0.25">
      <c r="N87" s="59"/>
      <c r="O87" s="59"/>
    </row>
    <row r="88" spans="12:15" ht="15" x14ac:dyDescent="0.25">
      <c r="N88" s="59"/>
      <c r="O88" s="5"/>
    </row>
    <row r="89" spans="12:15" x14ac:dyDescent="0.25">
      <c r="N89" s="59"/>
      <c r="O89" s="59"/>
    </row>
    <row r="90" spans="12:15" x14ac:dyDescent="0.25">
      <c r="N90" s="59"/>
    </row>
    <row r="91" spans="12:15" x14ac:dyDescent="0.25">
      <c r="L91" s="59"/>
      <c r="M91" s="59"/>
      <c r="N91" s="59"/>
      <c r="O91" s="59"/>
    </row>
    <row r="92" spans="12:15" ht="15" x14ac:dyDescent="0.25">
      <c r="N92" s="59"/>
      <c r="O92" s="5"/>
    </row>
    <row r="93" spans="12:15" x14ac:dyDescent="0.25">
      <c r="N93" s="59"/>
      <c r="O93" s="59"/>
    </row>
    <row r="94" spans="12:15" ht="15" x14ac:dyDescent="0.25">
      <c r="N94" s="59"/>
      <c r="O94" s="5"/>
    </row>
    <row r="95" spans="12:15" x14ac:dyDescent="0.25">
      <c r="N95" s="59"/>
      <c r="O95" s="59"/>
    </row>
    <row r="96" spans="12:15" ht="15" x14ac:dyDescent="0.25">
      <c r="M96" s="59"/>
      <c r="N96" s="59"/>
      <c r="O96" s="5"/>
    </row>
    <row r="97" spans="12:15" x14ac:dyDescent="0.25">
      <c r="L97" s="59"/>
      <c r="N97" s="59"/>
      <c r="O97" s="59"/>
    </row>
    <row r="98" spans="12:15" x14ac:dyDescent="0.25">
      <c r="N98" s="59"/>
    </row>
    <row r="99" spans="12:15" x14ac:dyDescent="0.25">
      <c r="N99" s="59"/>
      <c r="O99" s="59"/>
    </row>
    <row r="100" spans="12:15" ht="15" x14ac:dyDescent="0.25">
      <c r="N100" s="59"/>
      <c r="O100" s="5"/>
    </row>
    <row r="101" spans="12:15" x14ac:dyDescent="0.25">
      <c r="M101" s="59"/>
      <c r="N101" s="59"/>
      <c r="O101" s="59"/>
    </row>
    <row r="102" spans="12:15" ht="15" x14ac:dyDescent="0.25">
      <c r="N102" s="59"/>
      <c r="O102" s="5"/>
    </row>
    <row r="103" spans="12:15" x14ac:dyDescent="0.25">
      <c r="N103" s="59"/>
      <c r="O103" s="59"/>
    </row>
    <row r="104" spans="12:15" ht="15" x14ac:dyDescent="0.25">
      <c r="L104" s="59"/>
      <c r="N104" s="59"/>
      <c r="O104" s="5"/>
    </row>
    <row r="105" spans="12:15" x14ac:dyDescent="0.25">
      <c r="N105" s="59"/>
      <c r="O105" s="59"/>
    </row>
    <row r="106" spans="12:15" x14ac:dyDescent="0.25">
      <c r="M106" s="59"/>
      <c r="N106" s="59"/>
    </row>
    <row r="107" spans="12:15" x14ac:dyDescent="0.25">
      <c r="N107" s="59"/>
      <c r="O107" s="59"/>
    </row>
    <row r="108" spans="12:15" ht="15" x14ac:dyDescent="0.25">
      <c r="N108" s="59"/>
      <c r="O108" s="5"/>
    </row>
    <row r="109" spans="12:15" x14ac:dyDescent="0.25">
      <c r="N109" s="59"/>
      <c r="O109" s="59"/>
    </row>
    <row r="110" spans="12:15" ht="15" x14ac:dyDescent="0.25">
      <c r="L110" s="59"/>
      <c r="N110" s="59"/>
      <c r="O110" s="5"/>
    </row>
    <row r="111" spans="12:15" x14ac:dyDescent="0.25">
      <c r="M111" s="59"/>
      <c r="N111" s="59"/>
      <c r="O111" s="59"/>
    </row>
    <row r="112" spans="12:15" ht="15" x14ac:dyDescent="0.25">
      <c r="N112" s="59"/>
      <c r="O112" s="5"/>
    </row>
    <row r="113" spans="12:15" x14ac:dyDescent="0.25">
      <c r="N113" s="59"/>
      <c r="O113" s="59"/>
    </row>
    <row r="114" spans="12:15" x14ac:dyDescent="0.25">
      <c r="N114" s="59"/>
    </row>
    <row r="115" spans="12:15" x14ac:dyDescent="0.25">
      <c r="N115" s="59"/>
      <c r="O115" s="59"/>
    </row>
    <row r="116" spans="12:15" ht="15" x14ac:dyDescent="0.25">
      <c r="L116" s="59"/>
      <c r="M116" s="59"/>
      <c r="N116" s="59"/>
      <c r="O116" s="5"/>
    </row>
    <row r="117" spans="12:15" x14ac:dyDescent="0.25">
      <c r="N117" s="59"/>
      <c r="O117" s="59"/>
    </row>
    <row r="118" spans="12:15" ht="15" x14ac:dyDescent="0.25">
      <c r="N118" s="59"/>
      <c r="O118" s="5"/>
    </row>
    <row r="119" spans="12:15" x14ac:dyDescent="0.25">
      <c r="N119" s="59"/>
      <c r="O119" s="59"/>
    </row>
    <row r="120" spans="12:15" ht="15" x14ac:dyDescent="0.25">
      <c r="N120" s="59"/>
      <c r="O120" s="5"/>
    </row>
    <row r="121" spans="12:15" x14ac:dyDescent="0.25">
      <c r="M121" s="59"/>
      <c r="N121" s="59"/>
      <c r="O121" s="59"/>
    </row>
    <row r="122" spans="12:15" x14ac:dyDescent="0.25">
      <c r="L122" s="59"/>
      <c r="N122" s="59"/>
    </row>
    <row r="123" spans="12:15" x14ac:dyDescent="0.25">
      <c r="N123" s="59"/>
      <c r="O123" s="59"/>
    </row>
    <row r="124" spans="12:15" ht="15" x14ac:dyDescent="0.25">
      <c r="N124" s="59"/>
      <c r="O124" s="5"/>
    </row>
    <row r="125" spans="12:15" x14ac:dyDescent="0.25">
      <c r="N125" s="59"/>
      <c r="O125" s="59"/>
    </row>
    <row r="126" spans="12:15" ht="15" x14ac:dyDescent="0.25">
      <c r="M126" s="59"/>
      <c r="N126" s="59"/>
      <c r="O126" s="5"/>
    </row>
    <row r="127" spans="12:15" x14ac:dyDescent="0.25">
      <c r="N127" s="59"/>
      <c r="O127" s="59"/>
    </row>
    <row r="128" spans="12:15" ht="15" x14ac:dyDescent="0.25">
      <c r="N128" s="59"/>
      <c r="O128" s="5"/>
    </row>
    <row r="129" spans="12:15" x14ac:dyDescent="0.25">
      <c r="L129" s="59"/>
      <c r="N129" s="59"/>
      <c r="O129" s="59"/>
    </row>
    <row r="130" spans="12:15" x14ac:dyDescent="0.25">
      <c r="N130" s="59"/>
    </row>
    <row r="131" spans="12:15" x14ac:dyDescent="0.25">
      <c r="M131" s="59"/>
      <c r="N131" s="59"/>
      <c r="O131" s="59"/>
    </row>
    <row r="132" spans="12:15" ht="15" x14ac:dyDescent="0.25">
      <c r="N132" s="59"/>
      <c r="O132" s="5"/>
    </row>
    <row r="133" spans="12:15" x14ac:dyDescent="0.25">
      <c r="N133" s="59"/>
      <c r="O133" s="59"/>
    </row>
    <row r="134" spans="12:15" ht="15" x14ac:dyDescent="0.25">
      <c r="N134" s="59"/>
      <c r="O134" s="5"/>
    </row>
    <row r="135" spans="12:15" x14ac:dyDescent="0.25">
      <c r="L135" s="59"/>
      <c r="N135" s="59"/>
      <c r="O135" s="59"/>
    </row>
    <row r="136" spans="12:15" ht="15" x14ac:dyDescent="0.25">
      <c r="M136" s="59"/>
      <c r="N136" s="59"/>
      <c r="O136" s="5"/>
    </row>
    <row r="137" spans="12:15" x14ac:dyDescent="0.25">
      <c r="N137" s="59"/>
      <c r="O137" s="59"/>
    </row>
    <row r="138" spans="12:15" ht="15" x14ac:dyDescent="0.25">
      <c r="N138" s="59"/>
      <c r="O138" s="5"/>
    </row>
    <row r="139" spans="12:15" x14ac:dyDescent="0.25">
      <c r="N139" s="59"/>
      <c r="O139" s="59"/>
    </row>
    <row r="140" spans="12:15" ht="15" x14ac:dyDescent="0.25">
      <c r="N140" s="59"/>
      <c r="O140" s="5"/>
    </row>
    <row r="141" spans="12:15" x14ac:dyDescent="0.25">
      <c r="L141" s="59"/>
      <c r="M141" s="59"/>
      <c r="N141" s="59"/>
      <c r="O141" s="59"/>
    </row>
    <row r="142" spans="12:15" x14ac:dyDescent="0.25">
      <c r="L142" s="55"/>
      <c r="M142" s="55"/>
      <c r="N142" s="55"/>
      <c r="O142" s="55"/>
    </row>
  </sheetData>
  <mergeCells count="3">
    <mergeCell ref="E6:F6"/>
    <mergeCell ref="A40:F41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38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0.28100000000000003</v>
      </c>
    </row>
    <row r="12" spans="1:7" s="5" customFormat="1" ht="15" x14ac:dyDescent="0.25">
      <c r="A12" s="8">
        <v>2</v>
      </c>
      <c r="B12" s="9" t="s">
        <v>19</v>
      </c>
      <c r="C12" s="10"/>
      <c r="D12" s="14"/>
      <c r="E12" s="11"/>
      <c r="F12" s="12">
        <v>3.1720000000000002</v>
      </c>
    </row>
    <row r="13" spans="1:7" s="5" customFormat="1" ht="15" x14ac:dyDescent="0.25">
      <c r="A13" s="8">
        <v>3</v>
      </c>
      <c r="B13" s="9" t="s">
        <v>3</v>
      </c>
      <c r="C13" s="10"/>
      <c r="D13" s="14"/>
      <c r="E13" s="11"/>
      <c r="F13" s="12">
        <v>0.86499999999999999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0.155</v>
      </c>
    </row>
    <row r="15" spans="1:7" x14ac:dyDescent="0.25">
      <c r="A15" s="8">
        <v>5</v>
      </c>
      <c r="B15" s="9" t="s">
        <v>18</v>
      </c>
      <c r="C15" s="10"/>
      <c r="D15" s="9"/>
      <c r="E15" s="11"/>
      <c r="F15" s="12">
        <v>1.1579999999999999</v>
      </c>
    </row>
    <row r="16" spans="1:7" x14ac:dyDescent="0.25">
      <c r="A16" s="8">
        <v>6</v>
      </c>
      <c r="B16" s="9" t="s">
        <v>50</v>
      </c>
      <c r="C16" s="10"/>
      <c r="D16" s="9"/>
      <c r="E16" s="11"/>
      <c r="F16" s="12">
        <v>0.90800000000000003</v>
      </c>
    </row>
    <row r="17" spans="1:9" x14ac:dyDescent="0.25">
      <c r="A17" s="8">
        <v>7</v>
      </c>
      <c r="B17" s="9" t="s">
        <v>20</v>
      </c>
      <c r="C17" s="10"/>
      <c r="D17" s="14"/>
      <c r="E17" s="11"/>
      <c r="F17" s="12">
        <v>0.16300000000000001</v>
      </c>
    </row>
    <row r="18" spans="1:9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0.54</v>
      </c>
    </row>
    <row r="19" spans="1:9" x14ac:dyDescent="0.25">
      <c r="A19" s="8">
        <v>9</v>
      </c>
      <c r="B19" s="9" t="s">
        <v>61</v>
      </c>
      <c r="C19" s="10"/>
      <c r="D19" s="14"/>
      <c r="E19" s="11"/>
      <c r="F19" s="12">
        <v>0.77</v>
      </c>
    </row>
    <row r="20" spans="1:9" x14ac:dyDescent="0.25">
      <c r="A20" s="8">
        <v>10</v>
      </c>
      <c r="B20" s="9" t="s">
        <v>22</v>
      </c>
      <c r="C20" s="10"/>
      <c r="D20" s="14"/>
      <c r="E20" s="11"/>
      <c r="F20" s="12">
        <v>8.9999999999999993E-3</v>
      </c>
    </row>
    <row r="21" spans="1:9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4.9619999999999997</v>
      </c>
    </row>
    <row r="22" spans="1:9" x14ac:dyDescent="0.25">
      <c r="A22" s="16" t="s">
        <v>83</v>
      </c>
      <c r="B22" s="13"/>
      <c r="C22" s="17"/>
      <c r="D22" s="13"/>
      <c r="E22" s="13"/>
      <c r="F22" s="18"/>
    </row>
    <row r="23" spans="1:9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12.983000000000001</v>
      </c>
    </row>
    <row r="24" spans="1:9" s="4" customFormat="1" ht="15.75" x14ac:dyDescent="0.25">
      <c r="A24" s="16"/>
      <c r="B24" s="13"/>
      <c r="C24" s="17"/>
      <c r="D24" s="13"/>
      <c r="E24" s="13"/>
      <c r="F24" s="18"/>
    </row>
    <row r="25" spans="1:9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1.2983000000000002</v>
      </c>
    </row>
    <row r="26" spans="1:9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3.5703250000000004</v>
      </c>
    </row>
    <row r="27" spans="1:9" s="5" customFormat="1" ht="15" x14ac:dyDescent="0.25">
      <c r="A27" s="16"/>
      <c r="B27" s="13"/>
      <c r="C27" s="17"/>
      <c r="D27" s="13"/>
      <c r="E27" s="13"/>
      <c r="F27" s="18"/>
    </row>
    <row r="28" spans="1:9" ht="15" x14ac:dyDescent="0.25">
      <c r="A28" s="50" t="s">
        <v>16</v>
      </c>
      <c r="B28" s="51"/>
      <c r="C28" s="52"/>
      <c r="D28" s="51"/>
      <c r="E28" s="51"/>
      <c r="F28" s="53">
        <f>SUM(F23:F27)</f>
        <v>17.851625000000002</v>
      </c>
    </row>
    <row r="29" spans="1:9" x14ac:dyDescent="0.25">
      <c r="E29" s="6"/>
    </row>
    <row r="30" spans="1:9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9" s="4" customFormat="1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  <c r="I31" s="5"/>
    </row>
    <row r="32" spans="1:9" s="5" customFormat="1" ht="15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8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  <c r="H33" s="7"/>
    </row>
    <row r="34" spans="1:8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  <c r="H34" s="7"/>
    </row>
    <row r="35" spans="1:8" s="5" customFormat="1" ht="15" x14ac:dyDescent="0.25">
      <c r="A35" s="8">
        <v>2</v>
      </c>
      <c r="B35" s="9" t="s">
        <v>12</v>
      </c>
      <c r="C35" s="33"/>
      <c r="D35" s="34"/>
      <c r="E35" s="34"/>
      <c r="F35" s="12">
        <f>SUBTOTAL(9,F36)</f>
        <v>8.5678338675820651</v>
      </c>
    </row>
    <row r="36" spans="1:8" ht="25.5" x14ac:dyDescent="0.25">
      <c r="A36" s="29">
        <f>A35+0.1</f>
        <v>2.1</v>
      </c>
      <c r="B36" s="15" t="s">
        <v>73</v>
      </c>
      <c r="C36" s="30">
        <v>1230000</v>
      </c>
      <c r="D36" s="31">
        <v>5</v>
      </c>
      <c r="E36" s="31">
        <v>100</v>
      </c>
      <c r="F36" s="32">
        <f>$C36*((1+$F$30)^$E36-1)/(((1+$F$30)^D36-1)*(1+$F$30)^$E36)/1000000</f>
        <v>8.5678338675820651</v>
      </c>
      <c r="G36" s="57"/>
      <c r="H36" s="7"/>
    </row>
    <row r="37" spans="1:8" s="5" customFormat="1" ht="15" x14ac:dyDescent="0.25">
      <c r="A37" s="8">
        <v>3</v>
      </c>
      <c r="B37" s="9" t="s">
        <v>24</v>
      </c>
      <c r="C37" s="33"/>
      <c r="D37" s="34"/>
      <c r="E37" s="34"/>
      <c r="F37" s="12">
        <f>SUBTOTAL(9,F38)</f>
        <v>17.91123935081643</v>
      </c>
    </row>
    <row r="38" spans="1:8" ht="25.5" x14ac:dyDescent="0.25">
      <c r="A38" s="29">
        <f>A37+0.1</f>
        <v>3.1</v>
      </c>
      <c r="B38" s="15" t="s">
        <v>69</v>
      </c>
      <c r="C38" s="30">
        <v>1246000</v>
      </c>
      <c r="D38" s="62">
        <f>2/12*15</f>
        <v>2.5</v>
      </c>
      <c r="E38" s="31">
        <v>100</v>
      </c>
      <c r="F38" s="32">
        <f>$C38*((1+$F$30)^$E38-1)/(((1+$F$30)^D38-1)*(1+$F$30)^$E38)/1000000</f>
        <v>17.91123935081643</v>
      </c>
      <c r="G38" s="57"/>
      <c r="H38" s="7"/>
    </row>
    <row r="39" spans="1:8" x14ac:dyDescent="0.25">
      <c r="A39" s="19" t="s">
        <v>6</v>
      </c>
      <c r="B39" s="20"/>
      <c r="C39" s="21"/>
      <c r="D39" s="20"/>
      <c r="E39" s="20"/>
      <c r="F39" s="22">
        <f>SUBTOTAL(9,F32:F38)</f>
        <v>28.113147175572468</v>
      </c>
      <c r="G39" s="57"/>
      <c r="H39" s="7"/>
    </row>
    <row r="40" spans="1:8" x14ac:dyDescent="0.25">
      <c r="A40" s="16"/>
      <c r="B40" s="13"/>
      <c r="C40" s="17"/>
      <c r="D40" s="13"/>
      <c r="E40" s="13"/>
      <c r="F40" s="18"/>
    </row>
    <row r="41" spans="1:8" s="5" customFormat="1" ht="15" x14ac:dyDescent="0.25">
      <c r="A41" s="50" t="str">
        <f>"Total Estimated Operational Costs (Over " &amp; TEXT(100,"0") &amp; "-Year Period)"</f>
        <v>Total Estimated Operational Costs (Over 100-Year Period)</v>
      </c>
      <c r="B41" s="51"/>
      <c r="C41" s="52"/>
      <c r="D41" s="51"/>
      <c r="E41" s="51"/>
      <c r="F41" s="53">
        <f>SUM(F39:F40)</f>
        <v>28.113147175572468</v>
      </c>
    </row>
    <row r="42" spans="1:8" s="5" customFormat="1" ht="15" x14ac:dyDescent="0.25">
      <c r="A42" s="50" t="s">
        <v>34</v>
      </c>
      <c r="B42" s="51"/>
      <c r="C42" s="52"/>
      <c r="D42" s="51"/>
      <c r="E42" s="51"/>
      <c r="F42" s="56">
        <f>F41*F30*(1+F30)^100/((1+F30)^100-1)</f>
        <v>0.76782286423495727</v>
      </c>
    </row>
    <row r="44" spans="1:8" s="5" customFormat="1" ht="15.75" x14ac:dyDescent="0.25">
      <c r="A44" s="35" t="str">
        <f>"Total Estimated Lifecycle Costs (Over " &amp; TEXT(100,"0") &amp; "-Year Period)"</f>
        <v>Total Estimated Lifecycle Costs (Over 100-Year Period)</v>
      </c>
      <c r="B44" s="43"/>
      <c r="C44" s="44"/>
      <c r="D44" s="43"/>
      <c r="E44" s="43"/>
      <c r="F44" s="45">
        <f>F28+F41</f>
        <v>45.96477217557247</v>
      </c>
    </row>
    <row r="46" spans="1:8" s="4" customFormat="1" ht="15.75" x14ac:dyDescent="0.25">
      <c r="A46" s="1"/>
      <c r="B46" s="1"/>
      <c r="C46" s="1"/>
      <c r="D46" s="1"/>
      <c r="E46" s="1"/>
      <c r="F46" s="1"/>
      <c r="G46" s="57"/>
    </row>
    <row r="47" spans="1:8" ht="15.75" x14ac:dyDescent="0.25">
      <c r="A47" s="35" t="s">
        <v>56</v>
      </c>
      <c r="B47" s="36"/>
      <c r="C47" s="37"/>
      <c r="D47" s="38"/>
      <c r="E47" s="39" t="s">
        <v>47</v>
      </c>
      <c r="F47" s="40">
        <v>2.5000000000000001E-2</v>
      </c>
    </row>
    <row r="48" spans="1:8" s="5" customFormat="1" ht="30" x14ac:dyDescent="0.25">
      <c r="A48" s="23" t="s">
        <v>1</v>
      </c>
      <c r="B48" s="24" t="s">
        <v>2</v>
      </c>
      <c r="C48" s="26" t="s">
        <v>14</v>
      </c>
      <c r="D48" s="26" t="s">
        <v>9</v>
      </c>
      <c r="E48" s="26" t="s">
        <v>13</v>
      </c>
      <c r="F48" s="27" t="s">
        <v>0</v>
      </c>
    </row>
    <row r="49" spans="1:8" x14ac:dyDescent="0.25">
      <c r="A49" s="8">
        <v>1</v>
      </c>
      <c r="B49" s="75" t="s">
        <v>64</v>
      </c>
      <c r="C49" s="76">
        <v>40000</v>
      </c>
      <c r="D49" s="34">
        <v>4</v>
      </c>
      <c r="E49" s="34">
        <v>100</v>
      </c>
      <c r="F49" s="12">
        <f>$C49*((1+$F$30)^$E49-1)/(((1+$F$30)^D49-1)*(1+$F$30)^$E49)/1000000</f>
        <v>0.35269324497223581</v>
      </c>
      <c r="G49" s="57"/>
      <c r="H49" s="7"/>
    </row>
    <row r="50" spans="1:8" ht="25.5" x14ac:dyDescent="0.25">
      <c r="A50" s="8">
        <v>2</v>
      </c>
      <c r="B50" s="75" t="s">
        <v>78</v>
      </c>
      <c r="C50" s="76">
        <v>3898000</v>
      </c>
      <c r="D50" s="34">
        <v>20</v>
      </c>
      <c r="E50" s="34">
        <v>100</v>
      </c>
      <c r="F50" s="12">
        <f t="shared" ref="F50:F51" si="0">$C50*((1+$F$30)^$E50-1)/(((1+$F$30)^D50-1)*(1+$F$30)^$E50)/1000000</f>
        <v>5.5871479857314545</v>
      </c>
      <c r="G50" s="57"/>
      <c r="H50" s="7"/>
    </row>
    <row r="51" spans="1:8" ht="25.5" x14ac:dyDescent="0.25">
      <c r="A51" s="8">
        <v>3</v>
      </c>
      <c r="B51" s="77" t="s">
        <v>79</v>
      </c>
      <c r="C51" s="78">
        <v>1789000</v>
      </c>
      <c r="D51" s="79">
        <v>50</v>
      </c>
      <c r="E51" s="34">
        <v>100</v>
      </c>
      <c r="F51" s="12">
        <f t="shared" si="0"/>
        <v>0.67192975213392203</v>
      </c>
      <c r="G51" s="57"/>
      <c r="H51" s="7"/>
    </row>
    <row r="52" spans="1:8" x14ac:dyDescent="0.25">
      <c r="A52" s="19" t="s">
        <v>6</v>
      </c>
      <c r="B52" s="20"/>
      <c r="C52" s="21"/>
      <c r="D52" s="20"/>
      <c r="E52" s="20"/>
      <c r="F52" s="22">
        <f>SUBTOTAL(9,F49:F51)</f>
        <v>6.6117709828376121</v>
      </c>
      <c r="G52" s="57"/>
      <c r="H52" s="7"/>
    </row>
    <row r="53" spans="1:8" x14ac:dyDescent="0.25">
      <c r="A53" s="16"/>
      <c r="B53" s="13"/>
      <c r="C53" s="17"/>
      <c r="D53" s="13"/>
      <c r="E53" s="13"/>
      <c r="F53" s="18"/>
    </row>
    <row r="54" spans="1:8" s="5" customFormat="1" ht="15" x14ac:dyDescent="0.25">
      <c r="A54" s="50" t="str">
        <f>"Total Estimated Cost (Over " &amp; TEXT(100,"0") &amp; "-Year Period)"</f>
        <v>Total Estimated Cost (Over 100-Year Period)</v>
      </c>
      <c r="B54" s="51"/>
      <c r="C54" s="52"/>
      <c r="D54" s="51"/>
      <c r="E54" s="51"/>
      <c r="F54" s="53">
        <f>SUM(F52:F53)</f>
        <v>6.6117709828376121</v>
      </c>
    </row>
    <row r="55" spans="1:8" s="5" customFormat="1" ht="15" x14ac:dyDescent="0.25">
      <c r="A55" s="50" t="s">
        <v>67</v>
      </c>
      <c r="B55" s="51"/>
      <c r="C55" s="52"/>
      <c r="D55" s="51"/>
      <c r="E55" s="51"/>
      <c r="F55" s="56">
        <f>F54*F47*(1+F47)^100/((1+F47)^100-1)</f>
        <v>0.18057988676981265</v>
      </c>
    </row>
    <row r="56" spans="1:8" x14ac:dyDescent="0.25">
      <c r="A56" s="82" t="s">
        <v>65</v>
      </c>
      <c r="B56" s="82"/>
      <c r="C56" s="82"/>
      <c r="D56" s="82"/>
      <c r="E56" s="82"/>
      <c r="F56" s="82"/>
    </row>
    <row r="57" spans="1:8" x14ac:dyDescent="0.25">
      <c r="A57" s="83"/>
      <c r="B57" s="83"/>
      <c r="C57" s="83"/>
      <c r="D57" s="83"/>
      <c r="E57" s="83"/>
      <c r="F57" s="83"/>
    </row>
    <row r="59" spans="1:8" s="4" customFormat="1" ht="15.75" x14ac:dyDescent="0.25">
      <c r="A59" s="1"/>
      <c r="B59" s="1"/>
      <c r="C59" s="1"/>
      <c r="D59" s="1"/>
      <c r="E59" s="1"/>
      <c r="F59" s="1"/>
      <c r="G59" s="57"/>
    </row>
    <row r="60" spans="1:8" x14ac:dyDescent="0.25">
      <c r="C60" s="54"/>
    </row>
    <row r="61" spans="1:8" x14ac:dyDescent="0.25">
      <c r="C61" s="54"/>
    </row>
  </sheetData>
  <mergeCells count="3">
    <mergeCell ref="E6:F6"/>
    <mergeCell ref="A56:F57"/>
    <mergeCell ref="E7:F7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51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0.28100000000000003</v>
      </c>
    </row>
    <row r="12" spans="1:7" s="5" customFormat="1" ht="15" x14ac:dyDescent="0.25">
      <c r="A12" s="8">
        <v>2</v>
      </c>
      <c r="B12" s="9" t="s">
        <v>19</v>
      </c>
      <c r="C12" s="10"/>
      <c r="D12" s="14"/>
      <c r="E12" s="11"/>
      <c r="F12" s="12">
        <v>3.6080000000000001</v>
      </c>
    </row>
    <row r="13" spans="1:7" s="5" customFormat="1" ht="15" x14ac:dyDescent="0.25">
      <c r="A13" s="8">
        <v>3</v>
      </c>
      <c r="B13" s="9" t="s">
        <v>3</v>
      </c>
      <c r="C13" s="10"/>
      <c r="D13" s="14"/>
      <c r="E13" s="11"/>
      <c r="F13" s="12">
        <v>0.86499999999999999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0.158</v>
      </c>
    </row>
    <row r="15" spans="1:7" x14ac:dyDescent="0.25">
      <c r="A15" s="8">
        <v>5</v>
      </c>
      <c r="B15" s="9" t="s">
        <v>18</v>
      </c>
      <c r="C15" s="10"/>
      <c r="D15" s="9"/>
      <c r="E15" s="11"/>
      <c r="F15" s="12">
        <v>0.82799999999999996</v>
      </c>
    </row>
    <row r="16" spans="1:7" x14ac:dyDescent="0.25">
      <c r="A16" s="8">
        <v>6</v>
      </c>
      <c r="B16" s="9" t="s">
        <v>50</v>
      </c>
      <c r="C16" s="10"/>
      <c r="D16" s="9"/>
      <c r="E16" s="11"/>
      <c r="F16" s="12">
        <v>0.90800000000000003</v>
      </c>
    </row>
    <row r="17" spans="1:6" x14ac:dyDescent="0.25">
      <c r="A17" s="8">
        <v>7</v>
      </c>
      <c r="B17" s="9" t="s">
        <v>20</v>
      </c>
      <c r="C17" s="10"/>
      <c r="D17" s="14"/>
      <c r="E17" s="11"/>
      <c r="F17" s="12">
        <v>0.16300000000000001</v>
      </c>
    </row>
    <row r="18" spans="1:6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0.54</v>
      </c>
    </row>
    <row r="19" spans="1:6" x14ac:dyDescent="0.25">
      <c r="A19" s="8">
        <v>9</v>
      </c>
      <c r="B19" s="9" t="s">
        <v>61</v>
      </c>
      <c r="C19" s="10"/>
      <c r="D19" s="14"/>
      <c r="E19" s="11"/>
      <c r="F19" s="12">
        <v>0.77</v>
      </c>
    </row>
    <row r="20" spans="1:6" x14ac:dyDescent="0.25">
      <c r="A20" s="8">
        <v>10</v>
      </c>
      <c r="B20" s="9" t="s">
        <v>22</v>
      </c>
      <c r="C20" s="10"/>
      <c r="D20" s="14"/>
      <c r="E20" s="11"/>
      <c r="F20" s="12">
        <v>8.9999999999999993E-3</v>
      </c>
    </row>
    <row r="21" spans="1:6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4.29</v>
      </c>
    </row>
    <row r="22" spans="1:6" x14ac:dyDescent="0.25">
      <c r="A22" s="16" t="s">
        <v>84</v>
      </c>
      <c r="B22" s="13"/>
      <c r="C22" s="17"/>
      <c r="D22" s="13"/>
      <c r="E22" s="13"/>
      <c r="F22" s="18"/>
    </row>
    <row r="23" spans="1:6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12.420000000000002</v>
      </c>
    </row>
    <row r="24" spans="1:6" s="4" customFormat="1" ht="15.75" x14ac:dyDescent="0.25">
      <c r="A24" s="16"/>
      <c r="B24" s="13"/>
      <c r="C24" s="17"/>
      <c r="D24" s="13"/>
      <c r="E24" s="13"/>
      <c r="F24" s="18"/>
    </row>
    <row r="25" spans="1:6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1.2420000000000002</v>
      </c>
    </row>
    <row r="26" spans="1:6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3.4155000000000006</v>
      </c>
    </row>
    <row r="27" spans="1:6" s="5" customFormat="1" ht="15" x14ac:dyDescent="0.25">
      <c r="A27" s="16"/>
      <c r="B27" s="13"/>
      <c r="C27" s="17"/>
      <c r="D27" s="13"/>
      <c r="E27" s="13"/>
      <c r="F27" s="18"/>
    </row>
    <row r="28" spans="1:6" ht="15" x14ac:dyDescent="0.25">
      <c r="A28" s="50" t="s">
        <v>16</v>
      </c>
      <c r="B28" s="51"/>
      <c r="C28" s="52"/>
      <c r="D28" s="51"/>
      <c r="E28" s="51"/>
      <c r="F28" s="53">
        <f>SUM(F23:F27)</f>
        <v>17.077500000000004</v>
      </c>
    </row>
    <row r="29" spans="1:6" x14ac:dyDescent="0.25">
      <c r="E29" s="6"/>
    </row>
    <row r="30" spans="1:6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6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</row>
    <row r="32" spans="1:6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7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</row>
    <row r="34" spans="1:7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</row>
    <row r="35" spans="1:7" x14ac:dyDescent="0.25">
      <c r="A35" s="8">
        <v>2</v>
      </c>
      <c r="B35" s="9" t="s">
        <v>12</v>
      </c>
      <c r="C35" s="33"/>
      <c r="D35" s="34"/>
      <c r="E35" s="34"/>
      <c r="F35" s="12">
        <f>SUBTOTAL(9,F36)</f>
        <v>3.7336251650601526</v>
      </c>
    </row>
    <row r="36" spans="1:7" ht="25.5" x14ac:dyDescent="0.25">
      <c r="A36" s="29">
        <f>A35+0.1</f>
        <v>2.1</v>
      </c>
      <c r="B36" s="15" t="s">
        <v>71</v>
      </c>
      <c r="C36" s="30">
        <v>536000</v>
      </c>
      <c r="D36" s="31">
        <v>5</v>
      </c>
      <c r="E36" s="31">
        <v>100</v>
      </c>
      <c r="F36" s="32">
        <f>$C36*((1+$F$30)^$E36-1)/(((1+$F$30)^D36-1)*(1+$F$30)^$E36)/1000000</f>
        <v>3.7336251650601526</v>
      </c>
    </row>
    <row r="37" spans="1:7" x14ac:dyDescent="0.25">
      <c r="A37" s="8">
        <v>3</v>
      </c>
      <c r="B37" s="9" t="s">
        <v>24</v>
      </c>
      <c r="C37" s="33"/>
      <c r="D37" s="34"/>
      <c r="E37" s="34"/>
      <c r="F37" s="12">
        <f>SUBTOTAL(9,F38:F39)</f>
        <v>6.9870517084848434</v>
      </c>
    </row>
    <row r="38" spans="1:7" ht="25.5" x14ac:dyDescent="0.25">
      <c r="A38" s="29">
        <f>A37+0.1</f>
        <v>3.1</v>
      </c>
      <c r="B38" s="15" t="s">
        <v>69</v>
      </c>
      <c r="C38" s="30">
        <v>1246000</v>
      </c>
      <c r="D38" s="62">
        <f>2/4*15</f>
        <v>7.5</v>
      </c>
      <c r="E38" s="31">
        <v>100</v>
      </c>
      <c r="F38" s="32">
        <f>$C38*((1+$F$30)^$E38-1)/(((1+$F$30)^D38-1)*(1+$F$30)^$E38)/1000000</f>
        <v>5.6058726450015746</v>
      </c>
    </row>
    <row r="39" spans="1:7" ht="25.5" x14ac:dyDescent="0.25">
      <c r="A39" s="29">
        <f>A38+0.1</f>
        <v>3.2</v>
      </c>
      <c r="B39" s="15" t="s">
        <v>77</v>
      </c>
      <c r="C39" s="30">
        <v>3075000</v>
      </c>
      <c r="D39" s="31">
        <v>45</v>
      </c>
      <c r="E39" s="31">
        <v>100</v>
      </c>
      <c r="F39" s="32">
        <f>$C39*((1+$F$30)^$E39-1)/(((1+$F$30)^D39-1)*(1+$F$30)^$E39)/1000000</f>
        <v>1.3811790634832692</v>
      </c>
    </row>
    <row r="40" spans="1:7" x14ac:dyDescent="0.25">
      <c r="A40" s="19" t="s">
        <v>6</v>
      </c>
      <c r="B40" s="20"/>
      <c r="C40" s="21"/>
      <c r="D40" s="20"/>
      <c r="E40" s="20"/>
      <c r="F40" s="22">
        <f>SUBTOTAL(9,F32:F39)</f>
        <v>12.35475083071897</v>
      </c>
    </row>
    <row r="41" spans="1:7" x14ac:dyDescent="0.25">
      <c r="A41" s="16"/>
      <c r="B41" s="13"/>
      <c r="C41" s="17"/>
      <c r="D41" s="13"/>
      <c r="E41" s="13"/>
      <c r="F41" s="18"/>
    </row>
    <row r="42" spans="1:7" ht="15" x14ac:dyDescent="0.25">
      <c r="A42" s="50" t="str">
        <f>"Total Estimated Operational Costs (Over " &amp; TEXT(100,"0") &amp; "-Year Period)"</f>
        <v>Total Estimated Operational Costs (Over 100-Year Period)</v>
      </c>
      <c r="B42" s="51"/>
      <c r="C42" s="52"/>
      <c r="D42" s="51"/>
      <c r="E42" s="51"/>
      <c r="F42" s="53">
        <f>SUM(F40:F41)</f>
        <v>12.35475083071897</v>
      </c>
    </row>
    <row r="43" spans="1:7" ht="15" x14ac:dyDescent="0.25">
      <c r="A43" s="50" t="s">
        <v>34</v>
      </c>
      <c r="B43" s="51"/>
      <c r="C43" s="52"/>
      <c r="D43" s="51"/>
      <c r="E43" s="51"/>
      <c r="F43" s="56">
        <f>F42*F30*(1+F30)^100/((1+F30)^100-1)</f>
        <v>0.33743145548622444</v>
      </c>
    </row>
    <row r="45" spans="1:7" ht="15.75" x14ac:dyDescent="0.25">
      <c r="A45" s="35" t="str">
        <f>"Total Estimated Lifecycle Costs (Over " &amp; TEXT(100,"0") &amp; "-Year Period)"</f>
        <v>Total Estimated Lifecycle Costs (Over 100-Year Period)</v>
      </c>
      <c r="B45" s="43"/>
      <c r="C45" s="44"/>
      <c r="D45" s="43"/>
      <c r="E45" s="43"/>
      <c r="F45" s="45">
        <f>F28+F42</f>
        <v>29.432250830718974</v>
      </c>
    </row>
    <row r="47" spans="1:7" s="4" customFormat="1" ht="15.75" x14ac:dyDescent="0.25">
      <c r="A47" s="1"/>
      <c r="B47" s="1"/>
      <c r="C47" s="1"/>
      <c r="D47" s="1"/>
      <c r="E47" s="1"/>
      <c r="F47" s="1"/>
      <c r="G47" s="57"/>
    </row>
    <row r="48" spans="1:7" ht="15.75" x14ac:dyDescent="0.25">
      <c r="A48" s="35" t="s">
        <v>56</v>
      </c>
      <c r="B48" s="36"/>
      <c r="C48" s="37"/>
      <c r="D48" s="38"/>
      <c r="E48" s="39" t="s">
        <v>47</v>
      </c>
      <c r="F48" s="40">
        <v>2.5000000000000001E-2</v>
      </c>
    </row>
    <row r="49" spans="1:8" s="5" customFormat="1" ht="30" x14ac:dyDescent="0.25">
      <c r="A49" s="23" t="s">
        <v>1</v>
      </c>
      <c r="B49" s="24" t="s">
        <v>2</v>
      </c>
      <c r="C49" s="26" t="s">
        <v>14</v>
      </c>
      <c r="D49" s="26" t="s">
        <v>9</v>
      </c>
      <c r="E49" s="26" t="s">
        <v>13</v>
      </c>
      <c r="F49" s="27" t="s">
        <v>0</v>
      </c>
    </row>
    <row r="50" spans="1:8" x14ac:dyDescent="0.25">
      <c r="A50" s="8">
        <v>1</v>
      </c>
      <c r="B50" s="75" t="s">
        <v>64</v>
      </c>
      <c r="C50" s="76">
        <v>40000</v>
      </c>
      <c r="D50" s="34">
        <v>4</v>
      </c>
      <c r="E50" s="34">
        <v>100</v>
      </c>
      <c r="F50" s="12">
        <f>$C50*((1+$F$30)^$E50-1)/(((1+$F$30)^D50-1)*(1+$F$30)^$E50)/1000000</f>
        <v>0.35269324497223581</v>
      </c>
      <c r="G50" s="57"/>
      <c r="H50" s="7"/>
    </row>
    <row r="51" spans="1:8" ht="25.5" x14ac:dyDescent="0.25">
      <c r="A51" s="8">
        <v>2</v>
      </c>
      <c r="B51" s="75" t="s">
        <v>78</v>
      </c>
      <c r="C51" s="76">
        <v>3898000</v>
      </c>
      <c r="D51" s="34">
        <v>20</v>
      </c>
      <c r="E51" s="34">
        <v>100</v>
      </c>
      <c r="F51" s="12">
        <f t="shared" ref="F51:F52" si="0">$C51*((1+$F$30)^$E51-1)/(((1+$F$30)^D51-1)*(1+$F$30)^$E51)/1000000</f>
        <v>5.5871479857314545</v>
      </c>
      <c r="G51" s="57"/>
      <c r="H51" s="7"/>
    </row>
    <row r="52" spans="1:8" ht="25.5" x14ac:dyDescent="0.25">
      <c r="A52" s="8">
        <v>3</v>
      </c>
      <c r="B52" s="77" t="s">
        <v>79</v>
      </c>
      <c r="C52" s="78">
        <v>1789000</v>
      </c>
      <c r="D52" s="79">
        <v>50</v>
      </c>
      <c r="E52" s="34">
        <v>100</v>
      </c>
      <c r="F52" s="12">
        <f t="shared" si="0"/>
        <v>0.67192975213392203</v>
      </c>
      <c r="G52" s="57"/>
      <c r="H52" s="7"/>
    </row>
    <row r="53" spans="1:8" x14ac:dyDescent="0.25">
      <c r="A53" s="19" t="s">
        <v>6</v>
      </c>
      <c r="B53" s="20"/>
      <c r="C53" s="21"/>
      <c r="D53" s="20"/>
      <c r="E53" s="20"/>
      <c r="F53" s="22">
        <f>SUBTOTAL(9,F50:F52)</f>
        <v>6.6117709828376121</v>
      </c>
      <c r="G53" s="57"/>
      <c r="H53" s="7"/>
    </row>
    <row r="54" spans="1:8" x14ac:dyDescent="0.25">
      <c r="A54" s="16"/>
      <c r="B54" s="13"/>
      <c r="C54" s="17"/>
      <c r="D54" s="13"/>
      <c r="E54" s="13"/>
      <c r="F54" s="18"/>
    </row>
    <row r="55" spans="1:8" s="5" customFormat="1" ht="15" x14ac:dyDescent="0.25">
      <c r="A55" s="50" t="str">
        <f>"Total Estimated Cost (Over " &amp; TEXT(100,"0") &amp; "-Year Period)"</f>
        <v>Total Estimated Cost (Over 100-Year Period)</v>
      </c>
      <c r="B55" s="51"/>
      <c r="C55" s="52"/>
      <c r="D55" s="51"/>
      <c r="E55" s="51"/>
      <c r="F55" s="53">
        <f>SUM(F53:F54)</f>
        <v>6.6117709828376121</v>
      </c>
    </row>
    <row r="56" spans="1:8" s="5" customFormat="1" ht="15" x14ac:dyDescent="0.25">
      <c r="A56" s="50" t="s">
        <v>67</v>
      </c>
      <c r="B56" s="51"/>
      <c r="C56" s="52"/>
      <c r="D56" s="51"/>
      <c r="E56" s="51"/>
      <c r="F56" s="56">
        <f>F55*F48*(1+F48)^100/((1+F48)^100-1)</f>
        <v>0.18057988676981265</v>
      </c>
    </row>
    <row r="57" spans="1:8" x14ac:dyDescent="0.25">
      <c r="A57" s="82" t="s">
        <v>65</v>
      </c>
      <c r="B57" s="82"/>
      <c r="C57" s="82"/>
      <c r="D57" s="82"/>
      <c r="E57" s="82"/>
      <c r="F57" s="82"/>
    </row>
    <row r="58" spans="1:8" x14ac:dyDescent="0.25">
      <c r="A58" s="83"/>
      <c r="B58" s="83"/>
      <c r="C58" s="83"/>
      <c r="D58" s="83"/>
      <c r="E58" s="83"/>
      <c r="F58" s="83"/>
    </row>
  </sheetData>
  <mergeCells count="3">
    <mergeCell ref="E6:F6"/>
    <mergeCell ref="A57:F58"/>
    <mergeCell ref="E7:F7"/>
  </mergeCell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57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0.28100000000000003</v>
      </c>
    </row>
    <row r="12" spans="1:7" s="5" customFormat="1" ht="15" x14ac:dyDescent="0.25">
      <c r="A12" s="8">
        <v>2</v>
      </c>
      <c r="B12" s="9" t="s">
        <v>19</v>
      </c>
      <c r="C12" s="10"/>
      <c r="D12" s="14"/>
      <c r="E12" s="11"/>
      <c r="F12" s="12">
        <v>3.6080000000000001</v>
      </c>
    </row>
    <row r="13" spans="1:7" s="5" customFormat="1" ht="15" x14ac:dyDescent="0.25">
      <c r="A13" s="8">
        <v>3</v>
      </c>
      <c r="B13" s="9" t="s">
        <v>3</v>
      </c>
      <c r="C13" s="10"/>
      <c r="D13" s="14"/>
      <c r="E13" s="11"/>
      <c r="F13" s="12">
        <v>0.86499999999999999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0.215</v>
      </c>
    </row>
    <row r="15" spans="1:7" x14ac:dyDescent="0.25">
      <c r="A15" s="8">
        <v>5</v>
      </c>
      <c r="B15" s="9" t="s">
        <v>18</v>
      </c>
      <c r="C15" s="10"/>
      <c r="D15" s="9"/>
      <c r="E15" s="11"/>
      <c r="F15" s="12">
        <v>1.125</v>
      </c>
    </row>
    <row r="16" spans="1:7" x14ac:dyDescent="0.25">
      <c r="A16" s="8">
        <v>6</v>
      </c>
      <c r="B16" s="9" t="s">
        <v>50</v>
      </c>
      <c r="C16" s="10"/>
      <c r="D16" s="9"/>
      <c r="E16" s="11"/>
      <c r="F16" s="12">
        <v>0.90800000000000003</v>
      </c>
    </row>
    <row r="17" spans="1:9" x14ac:dyDescent="0.25">
      <c r="A17" s="8">
        <v>7</v>
      </c>
      <c r="B17" s="9" t="s">
        <v>20</v>
      </c>
      <c r="C17" s="10"/>
      <c r="D17" s="14"/>
      <c r="E17" s="11"/>
      <c r="F17" s="12">
        <v>0.16300000000000001</v>
      </c>
    </row>
    <row r="18" spans="1:9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0.54</v>
      </c>
    </row>
    <row r="19" spans="1:9" x14ac:dyDescent="0.25">
      <c r="A19" s="8">
        <v>9</v>
      </c>
      <c r="B19" s="9" t="s">
        <v>61</v>
      </c>
      <c r="C19" s="10"/>
      <c r="D19" s="14"/>
      <c r="E19" s="11"/>
      <c r="F19" s="12">
        <v>0.76800000000000002</v>
      </c>
    </row>
    <row r="20" spans="1:9" x14ac:dyDescent="0.25">
      <c r="A20" s="8">
        <v>10</v>
      </c>
      <c r="B20" s="9" t="s">
        <v>22</v>
      </c>
      <c r="C20" s="10"/>
      <c r="D20" s="14"/>
      <c r="E20" s="11"/>
      <c r="F20" s="12">
        <v>8.9999999999999993E-3</v>
      </c>
    </row>
    <row r="21" spans="1:9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4.3220000000000001</v>
      </c>
    </row>
    <row r="22" spans="1:9" x14ac:dyDescent="0.25">
      <c r="A22" s="16" t="s">
        <v>85</v>
      </c>
      <c r="B22" s="13"/>
      <c r="C22" s="17"/>
      <c r="D22" s="13"/>
      <c r="E22" s="13"/>
      <c r="F22" s="18"/>
    </row>
    <row r="23" spans="1:9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12.804000000000002</v>
      </c>
    </row>
    <row r="24" spans="1:9" s="4" customFormat="1" ht="15.75" x14ac:dyDescent="0.25">
      <c r="A24" s="16"/>
      <c r="B24" s="13"/>
      <c r="C24" s="17"/>
      <c r="D24" s="13"/>
      <c r="E24" s="13"/>
      <c r="F24" s="18"/>
    </row>
    <row r="25" spans="1:9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1.2804000000000002</v>
      </c>
    </row>
    <row r="26" spans="1:9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3.5211000000000006</v>
      </c>
    </row>
    <row r="27" spans="1:9" s="5" customFormat="1" ht="15" x14ac:dyDescent="0.25">
      <c r="A27" s="16"/>
      <c r="B27" s="13"/>
      <c r="C27" s="17"/>
      <c r="D27" s="13"/>
      <c r="E27" s="13"/>
      <c r="F27" s="18"/>
    </row>
    <row r="28" spans="1:9" ht="15" x14ac:dyDescent="0.25">
      <c r="A28" s="50" t="s">
        <v>16</v>
      </c>
      <c r="B28" s="51"/>
      <c r="C28" s="52"/>
      <c r="D28" s="51"/>
      <c r="E28" s="51"/>
      <c r="F28" s="53">
        <f>SUM(F23:F27)</f>
        <v>17.605500000000003</v>
      </c>
    </row>
    <row r="29" spans="1:9" x14ac:dyDescent="0.25">
      <c r="A29" s="72"/>
      <c r="B29" s="72"/>
      <c r="C29" s="73"/>
      <c r="D29" s="72"/>
      <c r="E29" s="74"/>
      <c r="F29" s="72"/>
    </row>
    <row r="30" spans="1:9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9" s="4" customFormat="1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  <c r="I31" s="5"/>
    </row>
    <row r="32" spans="1:9" s="5" customFormat="1" ht="15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8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  <c r="H33" s="7"/>
    </row>
    <row r="34" spans="1:8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  <c r="H34" s="7"/>
    </row>
    <row r="35" spans="1:8" s="5" customFormat="1" ht="15" x14ac:dyDescent="0.25">
      <c r="A35" s="8">
        <v>2</v>
      </c>
      <c r="B35" s="9" t="s">
        <v>24</v>
      </c>
      <c r="C35" s="33"/>
      <c r="D35" s="34"/>
      <c r="E35" s="34"/>
      <c r="F35" s="12">
        <f>SUBTOTAL(9,F36:F36)</f>
        <v>1.6241767458717076</v>
      </c>
    </row>
    <row r="36" spans="1:8" ht="25.5" x14ac:dyDescent="0.25">
      <c r="A36" s="29">
        <f>A35+0.1</f>
        <v>2.1</v>
      </c>
      <c r="B36" s="15" t="s">
        <v>76</v>
      </c>
      <c r="C36" s="30">
        <v>3616000</v>
      </c>
      <c r="D36" s="31">
        <v>45</v>
      </c>
      <c r="E36" s="31">
        <v>100</v>
      </c>
      <c r="F36" s="32">
        <f>$C36*((1+$F$30)^$E36-1)/(((1+$F$30)^D36-1)*(1+$F$30)^$E36)/1000000</f>
        <v>1.6241767458717076</v>
      </c>
      <c r="G36" s="57"/>
      <c r="H36" s="7"/>
    </row>
    <row r="37" spans="1:8" x14ac:dyDescent="0.25">
      <c r="A37" s="19" t="s">
        <v>6</v>
      </c>
      <c r="B37" s="20"/>
      <c r="C37" s="21"/>
      <c r="D37" s="20"/>
      <c r="E37" s="20"/>
      <c r="F37" s="22">
        <f>SUBTOTAL(9,F32:F36)</f>
        <v>3.2582507030456798</v>
      </c>
      <c r="G37" s="57"/>
      <c r="H37" s="7"/>
    </row>
    <row r="38" spans="1:8" x14ac:dyDescent="0.25">
      <c r="A38" s="16"/>
      <c r="B38" s="13"/>
      <c r="C38" s="17"/>
      <c r="D38" s="13"/>
      <c r="E38" s="13"/>
      <c r="F38" s="18"/>
    </row>
    <row r="39" spans="1:8" s="5" customFormat="1" ht="15" x14ac:dyDescent="0.25">
      <c r="A39" s="50" t="str">
        <f>"Total Estimated Operational Costs (Over " &amp; TEXT(100,"0") &amp; "-Year Period)"</f>
        <v>Total Estimated Operational Costs (Over 100-Year Period)</v>
      </c>
      <c r="B39" s="51"/>
      <c r="C39" s="52"/>
      <c r="D39" s="51"/>
      <c r="E39" s="51"/>
      <c r="F39" s="53">
        <f>SUM(F37:F38)</f>
        <v>3.2582507030456798</v>
      </c>
    </row>
    <row r="40" spans="1:8" s="5" customFormat="1" ht="15" x14ac:dyDescent="0.25">
      <c r="A40" s="50" t="s">
        <v>34</v>
      </c>
      <c r="B40" s="51"/>
      <c r="C40" s="52"/>
      <c r="D40" s="51"/>
      <c r="E40" s="51"/>
      <c r="F40" s="56">
        <f>F39*F30*(1+F30)^100/((1+F30)^100-1)</f>
        <v>8.898894782516123E-2</v>
      </c>
    </row>
    <row r="42" spans="1:8" s="5" customFormat="1" ht="15.75" x14ac:dyDescent="0.25">
      <c r="A42" s="35" t="str">
        <f>"Total Estimated Lifecycle Costs (Over " &amp; TEXT(100,"0") &amp; "-Year Period)"</f>
        <v>Total Estimated Lifecycle Costs (Over 100-Year Period)</v>
      </c>
      <c r="B42" s="43"/>
      <c r="C42" s="44"/>
      <c r="D42" s="43"/>
      <c r="E42" s="43"/>
      <c r="F42" s="45">
        <f>F28+F39</f>
        <v>20.863750703045682</v>
      </c>
    </row>
    <row r="44" spans="1:8" s="4" customFormat="1" ht="15.75" x14ac:dyDescent="0.25">
      <c r="A44" s="1"/>
      <c r="B44" s="1"/>
      <c r="C44" s="1"/>
      <c r="D44" s="1"/>
      <c r="E44" s="1"/>
      <c r="F44" s="1"/>
      <c r="G44" s="57"/>
    </row>
    <row r="45" spans="1:8" ht="15.75" x14ac:dyDescent="0.25">
      <c r="A45" s="35" t="s">
        <v>56</v>
      </c>
      <c r="B45" s="36"/>
      <c r="C45" s="37"/>
      <c r="D45" s="38"/>
      <c r="E45" s="39" t="s">
        <v>47</v>
      </c>
      <c r="F45" s="40">
        <v>2.5000000000000001E-2</v>
      </c>
    </row>
    <row r="46" spans="1:8" s="5" customFormat="1" ht="30" x14ac:dyDescent="0.25">
      <c r="A46" s="23" t="s">
        <v>1</v>
      </c>
      <c r="B46" s="24" t="s">
        <v>2</v>
      </c>
      <c r="C46" s="26" t="s">
        <v>14</v>
      </c>
      <c r="D46" s="26" t="s">
        <v>9</v>
      </c>
      <c r="E46" s="26" t="s">
        <v>13</v>
      </c>
      <c r="F46" s="27" t="s">
        <v>0</v>
      </c>
    </row>
    <row r="47" spans="1:8" x14ac:dyDescent="0.25">
      <c r="A47" s="8">
        <v>1</v>
      </c>
      <c r="B47" s="75" t="s">
        <v>64</v>
      </c>
      <c r="C47" s="76">
        <v>40000</v>
      </c>
      <c r="D47" s="34">
        <v>4</v>
      </c>
      <c r="E47" s="34">
        <v>100</v>
      </c>
      <c r="F47" s="12">
        <f>$C47*((1+$F$30)^$E47-1)/(((1+$F$30)^D47-1)*(1+$F$30)^$E47)/1000000</f>
        <v>0.35269324497223581</v>
      </c>
      <c r="G47" s="57"/>
      <c r="H47" s="7"/>
    </row>
    <row r="48" spans="1:8" ht="25.5" x14ac:dyDescent="0.25">
      <c r="A48" s="8">
        <v>2</v>
      </c>
      <c r="B48" s="75" t="s">
        <v>78</v>
      </c>
      <c r="C48" s="76">
        <v>3898000</v>
      </c>
      <c r="D48" s="34">
        <v>20</v>
      </c>
      <c r="E48" s="34">
        <v>100</v>
      </c>
      <c r="F48" s="12">
        <f t="shared" ref="F48:F49" si="0">$C48*((1+$F$30)^$E48-1)/(((1+$F$30)^D48-1)*(1+$F$30)^$E48)/1000000</f>
        <v>5.5871479857314545</v>
      </c>
      <c r="G48" s="57"/>
      <c r="H48" s="7"/>
    </row>
    <row r="49" spans="1:8" ht="25.5" x14ac:dyDescent="0.25">
      <c r="A49" s="8">
        <v>3</v>
      </c>
      <c r="B49" s="77" t="s">
        <v>79</v>
      </c>
      <c r="C49" s="78">
        <v>1789000</v>
      </c>
      <c r="D49" s="79">
        <v>50</v>
      </c>
      <c r="E49" s="34">
        <v>100</v>
      </c>
      <c r="F49" s="12">
        <f t="shared" si="0"/>
        <v>0.67192975213392203</v>
      </c>
      <c r="G49" s="57"/>
      <c r="H49" s="7"/>
    </row>
    <row r="50" spans="1:8" x14ac:dyDescent="0.25">
      <c r="A50" s="19" t="s">
        <v>6</v>
      </c>
      <c r="B50" s="20"/>
      <c r="C50" s="21"/>
      <c r="D50" s="20"/>
      <c r="E50" s="20"/>
      <c r="F50" s="22">
        <f>SUBTOTAL(9,F47:F49)</f>
        <v>6.6117709828376121</v>
      </c>
      <c r="G50" s="57"/>
      <c r="H50" s="7"/>
    </row>
    <row r="51" spans="1:8" x14ac:dyDescent="0.25">
      <c r="A51" s="16"/>
      <c r="B51" s="13"/>
      <c r="C51" s="17"/>
      <c r="D51" s="13"/>
      <c r="E51" s="13"/>
      <c r="F51" s="18"/>
    </row>
    <row r="52" spans="1:8" s="5" customFormat="1" ht="15" x14ac:dyDescent="0.25">
      <c r="A52" s="50" t="str">
        <f>"Total Estimated Cost (Over " &amp; TEXT(100,"0") &amp; "-Year Period)"</f>
        <v>Total Estimated Cost (Over 100-Year Period)</v>
      </c>
      <c r="B52" s="51"/>
      <c r="C52" s="52"/>
      <c r="D52" s="51"/>
      <c r="E52" s="51"/>
      <c r="F52" s="53">
        <f>SUM(F50:F51)</f>
        <v>6.6117709828376121</v>
      </c>
    </row>
    <row r="53" spans="1:8" s="5" customFormat="1" ht="15" x14ac:dyDescent="0.25">
      <c r="A53" s="50" t="s">
        <v>67</v>
      </c>
      <c r="B53" s="51"/>
      <c r="C53" s="52"/>
      <c r="D53" s="51"/>
      <c r="E53" s="51"/>
      <c r="F53" s="56">
        <f>F52*F45*(1+F45)^100/((1+F45)^100-1)</f>
        <v>0.18057988676981265</v>
      </c>
    </row>
    <row r="54" spans="1:8" x14ac:dyDescent="0.25">
      <c r="A54" s="82" t="s">
        <v>65</v>
      </c>
      <c r="B54" s="82"/>
      <c r="C54" s="82"/>
      <c r="D54" s="82"/>
      <c r="E54" s="82"/>
      <c r="F54" s="82"/>
    </row>
    <row r="55" spans="1:8" x14ac:dyDescent="0.25">
      <c r="A55" s="83"/>
      <c r="B55" s="83"/>
      <c r="C55" s="83"/>
      <c r="D55" s="83"/>
      <c r="E55" s="83"/>
      <c r="F55" s="83"/>
    </row>
    <row r="57" spans="1:8" s="4" customFormat="1" ht="15.75" x14ac:dyDescent="0.25">
      <c r="A57" s="1"/>
      <c r="B57" s="1"/>
      <c r="C57" s="1"/>
      <c r="D57" s="1"/>
      <c r="E57" s="1"/>
      <c r="F57" s="1"/>
      <c r="G57" s="57"/>
    </row>
    <row r="58" spans="1:8" x14ac:dyDescent="0.25">
      <c r="C58" s="54"/>
    </row>
    <row r="59" spans="1:8" x14ac:dyDescent="0.25">
      <c r="C59" s="54"/>
    </row>
  </sheetData>
  <mergeCells count="3">
    <mergeCell ref="E6:F6"/>
    <mergeCell ref="A54:F55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"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39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0.64600000000000002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3.173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2.2130000000000001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0.155</v>
      </c>
    </row>
    <row r="15" spans="1:7" s="5" customFormat="1" ht="15" x14ac:dyDescent="0.25">
      <c r="A15" s="8">
        <v>5</v>
      </c>
      <c r="B15" s="9" t="s">
        <v>18</v>
      </c>
      <c r="C15" s="10"/>
      <c r="D15" s="14"/>
      <c r="E15" s="11"/>
      <c r="F15" s="12">
        <v>1.1579999999999999</v>
      </c>
    </row>
    <row r="16" spans="1:7" x14ac:dyDescent="0.25">
      <c r="A16" s="8">
        <v>6</v>
      </c>
      <c r="B16" s="9" t="s">
        <v>50</v>
      </c>
      <c r="C16" s="10"/>
      <c r="D16" s="14"/>
      <c r="E16" s="11"/>
      <c r="F16" s="12">
        <v>0.90800000000000003</v>
      </c>
    </row>
    <row r="17" spans="1:9" x14ac:dyDescent="0.25">
      <c r="A17" s="8">
        <v>7</v>
      </c>
      <c r="B17" s="9" t="s">
        <v>20</v>
      </c>
      <c r="C17" s="10"/>
      <c r="D17" s="14"/>
      <c r="E17" s="11"/>
      <c r="F17" s="12">
        <v>0.218</v>
      </c>
    </row>
    <row r="18" spans="1:9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0.80900000000000005</v>
      </c>
    </row>
    <row r="19" spans="1:9" x14ac:dyDescent="0.25">
      <c r="A19" s="8">
        <v>9</v>
      </c>
      <c r="B19" s="9" t="s">
        <v>61</v>
      </c>
      <c r="C19" s="10"/>
      <c r="D19" s="14"/>
      <c r="E19" s="11"/>
      <c r="F19" s="12">
        <v>0.78800000000000003</v>
      </c>
    </row>
    <row r="20" spans="1:9" x14ac:dyDescent="0.25">
      <c r="A20" s="8">
        <v>10</v>
      </c>
      <c r="B20" s="9" t="s">
        <v>22</v>
      </c>
      <c r="C20" s="10"/>
      <c r="D20" s="14"/>
      <c r="E20" s="11"/>
      <c r="F20" s="12">
        <v>1.7000000000000001E-2</v>
      </c>
    </row>
    <row r="21" spans="1:9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5.75</v>
      </c>
    </row>
    <row r="22" spans="1:9" x14ac:dyDescent="0.25">
      <c r="A22" s="16" t="s">
        <v>86</v>
      </c>
      <c r="B22" s="13"/>
      <c r="C22" s="17"/>
      <c r="D22" s="13"/>
      <c r="E22" s="13"/>
      <c r="F22" s="18"/>
    </row>
    <row r="23" spans="1:9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15.834999999999999</v>
      </c>
    </row>
    <row r="24" spans="1:9" s="4" customFormat="1" ht="15.75" x14ac:dyDescent="0.25">
      <c r="A24" s="16"/>
      <c r="B24" s="13"/>
      <c r="C24" s="17"/>
      <c r="D24" s="13"/>
      <c r="E24" s="13"/>
      <c r="F24" s="18"/>
    </row>
    <row r="25" spans="1:9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1.5834999999999999</v>
      </c>
    </row>
    <row r="26" spans="1:9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4.3546249999999995</v>
      </c>
    </row>
    <row r="27" spans="1:9" s="5" customFormat="1" ht="15" x14ac:dyDescent="0.25">
      <c r="A27" s="16"/>
      <c r="B27" s="13"/>
      <c r="C27" s="17"/>
      <c r="D27" s="13"/>
      <c r="E27" s="13"/>
      <c r="F27" s="18"/>
    </row>
    <row r="28" spans="1:9" ht="15" x14ac:dyDescent="0.25">
      <c r="A28" s="50" t="s">
        <v>16</v>
      </c>
      <c r="B28" s="51"/>
      <c r="C28" s="52"/>
      <c r="D28" s="51"/>
      <c r="E28" s="51"/>
      <c r="F28" s="53">
        <f>SUM(F23:F27)</f>
        <v>21.773124999999997</v>
      </c>
    </row>
    <row r="29" spans="1:9" x14ac:dyDescent="0.25">
      <c r="E29" s="6"/>
    </row>
    <row r="30" spans="1:9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9" s="4" customFormat="1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  <c r="I31" s="5"/>
    </row>
    <row r="32" spans="1:9" s="5" customFormat="1" ht="15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8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  <c r="H33" s="7"/>
    </row>
    <row r="34" spans="1:8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  <c r="H34" s="7"/>
    </row>
    <row r="35" spans="1:8" s="5" customFormat="1" ht="15" x14ac:dyDescent="0.25">
      <c r="A35" s="8">
        <v>2</v>
      </c>
      <c r="B35" s="9" t="s">
        <v>12</v>
      </c>
      <c r="C35" s="33"/>
      <c r="D35" s="34"/>
      <c r="E35" s="34"/>
      <c r="F35" s="12">
        <f>SUBTOTAL(9,F36)</f>
        <v>8.5678338675820651</v>
      </c>
    </row>
    <row r="36" spans="1:8" ht="25.5" x14ac:dyDescent="0.25">
      <c r="A36" s="29">
        <f>A35+0.1</f>
        <v>2.1</v>
      </c>
      <c r="B36" s="15" t="s">
        <v>73</v>
      </c>
      <c r="C36" s="30">
        <v>1230000</v>
      </c>
      <c r="D36" s="31">
        <v>5</v>
      </c>
      <c r="E36" s="31">
        <v>100</v>
      </c>
      <c r="F36" s="32">
        <f>$C36*((1+$F$30)^$E36-1)/(((1+$F$30)^D36-1)*(1+$F$30)^$E36)/1000000</f>
        <v>8.5678338675820651</v>
      </c>
      <c r="G36" s="57"/>
      <c r="H36" s="7"/>
    </row>
    <row r="37" spans="1:8" s="5" customFormat="1" ht="15" x14ac:dyDescent="0.25">
      <c r="A37" s="8">
        <v>3</v>
      </c>
      <c r="B37" s="9" t="s">
        <v>24</v>
      </c>
      <c r="C37" s="33"/>
      <c r="D37" s="34"/>
      <c r="E37" s="34"/>
      <c r="F37" s="12">
        <f>SUBTOTAL(9,F38)</f>
        <v>10.524894600175427</v>
      </c>
    </row>
    <row r="38" spans="1:8" ht="25.5" x14ac:dyDescent="0.25">
      <c r="A38" s="29">
        <f>A37+0.1</f>
        <v>3.1</v>
      </c>
      <c r="B38" s="15" t="s">
        <v>69</v>
      </c>
      <c r="C38" s="30">
        <v>1246000</v>
      </c>
      <c r="D38" s="62">
        <f>2/12*25</f>
        <v>4.1666666666666661</v>
      </c>
      <c r="E38" s="31">
        <v>100</v>
      </c>
      <c r="F38" s="32">
        <f>$C38*((1+$F$30)^$E38-1)/(((1+$F$30)^D38-1)*(1+$F$30)^$E38)/1000000</f>
        <v>10.524894600175427</v>
      </c>
      <c r="G38" s="57"/>
      <c r="H38" s="7"/>
    </row>
    <row r="39" spans="1:8" x14ac:dyDescent="0.25">
      <c r="A39" s="19" t="s">
        <v>6</v>
      </c>
      <c r="B39" s="20"/>
      <c r="C39" s="21"/>
      <c r="D39" s="20"/>
      <c r="E39" s="20"/>
      <c r="F39" s="22">
        <f>SUBTOTAL(9,F32:F38)</f>
        <v>20.726802424931464</v>
      </c>
      <c r="G39" s="57"/>
      <c r="H39" s="7"/>
    </row>
    <row r="40" spans="1:8" x14ac:dyDescent="0.25">
      <c r="A40" s="16"/>
      <c r="B40" s="13"/>
      <c r="C40" s="17"/>
      <c r="D40" s="13"/>
      <c r="E40" s="13"/>
      <c r="F40" s="18"/>
    </row>
    <row r="41" spans="1:8" s="5" customFormat="1" ht="15" x14ac:dyDescent="0.25">
      <c r="A41" s="50" t="str">
        <f>"Total Estimated Operational Costs (Over " &amp; TEXT(100,"0") &amp; "-Year Period)"</f>
        <v>Total Estimated Operational Costs (Over 100-Year Period)</v>
      </c>
      <c r="B41" s="51"/>
      <c r="C41" s="52"/>
      <c r="D41" s="51"/>
      <c r="E41" s="51"/>
      <c r="F41" s="53">
        <f>SUM(F39:F40)</f>
        <v>20.726802424931464</v>
      </c>
    </row>
    <row r="42" spans="1:8" s="5" customFormat="1" ht="15" x14ac:dyDescent="0.25">
      <c r="A42" s="50" t="s">
        <v>34</v>
      </c>
      <c r="B42" s="51"/>
      <c r="C42" s="52"/>
      <c r="D42" s="51"/>
      <c r="E42" s="51"/>
      <c r="F42" s="56">
        <f>F41*F30*(1+F30)^100/((1+F30)^100-1)</f>
        <v>0.56608791271050107</v>
      </c>
    </row>
    <row r="44" spans="1:8" s="5" customFormat="1" ht="15.75" x14ac:dyDescent="0.25">
      <c r="A44" s="35" t="str">
        <f>"Total Estimated Lifecycle Costs (Over " &amp; TEXT(100,"0") &amp; "-Year Period)"</f>
        <v>Total Estimated Lifecycle Costs (Over 100-Year Period)</v>
      </c>
      <c r="B44" s="43"/>
      <c r="C44" s="44"/>
      <c r="D44" s="43"/>
      <c r="E44" s="43"/>
      <c r="F44" s="45">
        <f>F28+F41</f>
        <v>42.499927424931457</v>
      </c>
    </row>
    <row r="46" spans="1:8" s="4" customFormat="1" ht="15.75" x14ac:dyDescent="0.25">
      <c r="A46" s="1"/>
      <c r="B46" s="1"/>
      <c r="C46" s="1"/>
      <c r="D46" s="1"/>
      <c r="E46" s="1"/>
      <c r="F46" s="1"/>
      <c r="G46" s="57"/>
    </row>
    <row r="47" spans="1:8" ht="15.75" x14ac:dyDescent="0.25">
      <c r="A47" s="35" t="s">
        <v>56</v>
      </c>
      <c r="B47" s="36"/>
      <c r="C47" s="37"/>
      <c r="D47" s="38"/>
      <c r="E47" s="39" t="s">
        <v>47</v>
      </c>
      <c r="F47" s="40">
        <v>2.5000000000000001E-2</v>
      </c>
    </row>
    <row r="48" spans="1:8" s="5" customFormat="1" ht="30" x14ac:dyDescent="0.25">
      <c r="A48" s="23" t="s">
        <v>1</v>
      </c>
      <c r="B48" s="24" t="s">
        <v>2</v>
      </c>
      <c r="C48" s="26" t="s">
        <v>14</v>
      </c>
      <c r="D48" s="26" t="s">
        <v>9</v>
      </c>
      <c r="E48" s="26" t="s">
        <v>13</v>
      </c>
      <c r="F48" s="27" t="s">
        <v>0</v>
      </c>
    </row>
    <row r="49" spans="1:8" x14ac:dyDescent="0.25">
      <c r="A49" s="8">
        <v>1</v>
      </c>
      <c r="B49" s="75" t="s">
        <v>64</v>
      </c>
      <c r="C49" s="76">
        <v>40000</v>
      </c>
      <c r="D49" s="34">
        <v>4</v>
      </c>
      <c r="E49" s="34">
        <v>100</v>
      </c>
      <c r="F49" s="12">
        <f>$C49*((1+$F$30)^$E49-1)/(((1+$F$30)^D49-1)*(1+$F$30)^$E49)/1000000</f>
        <v>0.35269324497223581</v>
      </c>
      <c r="G49" s="57"/>
      <c r="H49" s="7"/>
    </row>
    <row r="50" spans="1:8" ht="25.5" x14ac:dyDescent="0.25">
      <c r="A50" s="8">
        <v>2</v>
      </c>
      <c r="B50" s="75" t="s">
        <v>78</v>
      </c>
      <c r="C50" s="76">
        <v>3898000</v>
      </c>
      <c r="D50" s="34">
        <v>20</v>
      </c>
      <c r="E50" s="34">
        <v>100</v>
      </c>
      <c r="F50" s="12">
        <f t="shared" ref="F50:F51" si="0">$C50*((1+$F$30)^$E50-1)/(((1+$F$30)^D50-1)*(1+$F$30)^$E50)/1000000</f>
        <v>5.5871479857314545</v>
      </c>
      <c r="G50" s="57"/>
      <c r="H50" s="7"/>
    </row>
    <row r="51" spans="1:8" ht="25.5" x14ac:dyDescent="0.25">
      <c r="A51" s="8">
        <v>3</v>
      </c>
      <c r="B51" s="77" t="s">
        <v>79</v>
      </c>
      <c r="C51" s="78">
        <v>1789000</v>
      </c>
      <c r="D51" s="79">
        <v>50</v>
      </c>
      <c r="E51" s="34">
        <v>100</v>
      </c>
      <c r="F51" s="12">
        <f t="shared" si="0"/>
        <v>0.67192975213392203</v>
      </c>
      <c r="G51" s="57"/>
      <c r="H51" s="7"/>
    </row>
    <row r="52" spans="1:8" x14ac:dyDescent="0.25">
      <c r="A52" s="19" t="s">
        <v>6</v>
      </c>
      <c r="B52" s="20"/>
      <c r="C52" s="21"/>
      <c r="D52" s="20"/>
      <c r="E52" s="20"/>
      <c r="F52" s="22">
        <f>SUBTOTAL(9,F49:F51)</f>
        <v>6.6117709828376121</v>
      </c>
      <c r="G52" s="57"/>
      <c r="H52" s="7"/>
    </row>
    <row r="53" spans="1:8" x14ac:dyDescent="0.25">
      <c r="A53" s="16"/>
      <c r="B53" s="13"/>
      <c r="C53" s="17"/>
      <c r="D53" s="13"/>
      <c r="E53" s="13"/>
      <c r="F53" s="18"/>
    </row>
    <row r="54" spans="1:8" s="5" customFormat="1" ht="15" x14ac:dyDescent="0.25">
      <c r="A54" s="50" t="str">
        <f>"Total Estimated Cost (Over " &amp; TEXT(100,"0") &amp; "-Year Period)"</f>
        <v>Total Estimated Cost (Over 100-Year Period)</v>
      </c>
      <c r="B54" s="51"/>
      <c r="C54" s="52"/>
      <c r="D54" s="51"/>
      <c r="E54" s="51"/>
      <c r="F54" s="53">
        <f>SUM(F52:F53)</f>
        <v>6.6117709828376121</v>
      </c>
    </row>
    <row r="55" spans="1:8" s="5" customFormat="1" ht="15" x14ac:dyDescent="0.25">
      <c r="A55" s="50" t="s">
        <v>67</v>
      </c>
      <c r="B55" s="51"/>
      <c r="C55" s="52"/>
      <c r="D55" s="51"/>
      <c r="E55" s="51"/>
      <c r="F55" s="56">
        <f>F54*F47*(1+F47)^100/((1+F47)^100-1)</f>
        <v>0.18057988676981265</v>
      </c>
    </row>
    <row r="56" spans="1:8" x14ac:dyDescent="0.25">
      <c r="A56" s="82" t="s">
        <v>65</v>
      </c>
      <c r="B56" s="82"/>
      <c r="C56" s="82"/>
      <c r="D56" s="82"/>
      <c r="E56" s="82"/>
      <c r="F56" s="82"/>
    </row>
    <row r="57" spans="1:8" x14ac:dyDescent="0.25">
      <c r="A57" s="83"/>
      <c r="B57" s="83"/>
      <c r="C57" s="83"/>
      <c r="D57" s="83"/>
      <c r="E57" s="83"/>
      <c r="F57" s="83"/>
    </row>
    <row r="59" spans="1:8" s="4" customFormat="1" ht="15.75" x14ac:dyDescent="0.25">
      <c r="A59" s="1"/>
      <c r="B59" s="1"/>
      <c r="C59" s="1"/>
      <c r="D59" s="1"/>
      <c r="E59" s="1"/>
      <c r="F59" s="1"/>
      <c r="G59" s="57"/>
    </row>
    <row r="60" spans="1:8" x14ac:dyDescent="0.25">
      <c r="C60" s="54"/>
    </row>
    <row r="61" spans="1:8" x14ac:dyDescent="0.25">
      <c r="C61" s="54"/>
    </row>
  </sheetData>
  <mergeCells count="3">
    <mergeCell ref="E6:F6"/>
    <mergeCell ref="A56:F57"/>
    <mergeCell ref="E7:F7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52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0.64600000000000002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3.6080000000000001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2.2130000000000001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0.155</v>
      </c>
    </row>
    <row r="15" spans="1:7" s="5" customFormat="1" ht="15" x14ac:dyDescent="0.25">
      <c r="A15" s="8">
        <v>5</v>
      </c>
      <c r="B15" s="9" t="s">
        <v>18</v>
      </c>
      <c r="C15" s="10"/>
      <c r="D15" s="14"/>
      <c r="E15" s="11"/>
      <c r="F15" s="12">
        <v>0.82799999999999996</v>
      </c>
    </row>
    <row r="16" spans="1:7" x14ac:dyDescent="0.25">
      <c r="A16" s="8">
        <v>6</v>
      </c>
      <c r="B16" s="9" t="s">
        <v>50</v>
      </c>
      <c r="C16" s="10"/>
      <c r="D16" s="14"/>
      <c r="E16" s="11"/>
      <c r="F16" s="12">
        <v>0.90800000000000003</v>
      </c>
    </row>
    <row r="17" spans="1:6" x14ac:dyDescent="0.25">
      <c r="A17" s="8">
        <v>7</v>
      </c>
      <c r="B17" s="9" t="s">
        <v>20</v>
      </c>
      <c r="C17" s="10"/>
      <c r="D17" s="14"/>
      <c r="E17" s="11"/>
      <c r="F17" s="12">
        <v>0.218</v>
      </c>
    </row>
    <row r="18" spans="1:6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0.74199999999999999</v>
      </c>
    </row>
    <row r="19" spans="1:6" x14ac:dyDescent="0.25">
      <c r="A19" s="8">
        <v>9</v>
      </c>
      <c r="B19" s="9" t="s">
        <v>61</v>
      </c>
      <c r="C19" s="10"/>
      <c r="D19" s="14"/>
      <c r="E19" s="11"/>
      <c r="F19" s="12">
        <v>0.79</v>
      </c>
    </row>
    <row r="20" spans="1:6" x14ac:dyDescent="0.25">
      <c r="A20" s="8">
        <v>10</v>
      </c>
      <c r="B20" s="9" t="s">
        <v>22</v>
      </c>
      <c r="C20" s="10"/>
      <c r="D20" s="14"/>
      <c r="E20" s="11"/>
      <c r="F20" s="12">
        <v>1.7000000000000001E-2</v>
      </c>
    </row>
    <row r="21" spans="1:6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5.24</v>
      </c>
    </row>
    <row r="22" spans="1:6" x14ac:dyDescent="0.25">
      <c r="A22" s="16" t="s">
        <v>87</v>
      </c>
      <c r="B22" s="13"/>
      <c r="C22" s="17"/>
      <c r="D22" s="13"/>
      <c r="E22" s="13"/>
      <c r="F22" s="18"/>
    </row>
    <row r="23" spans="1:6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15.365</v>
      </c>
    </row>
    <row r="24" spans="1:6" s="4" customFormat="1" ht="15.75" x14ac:dyDescent="0.25">
      <c r="A24" s="16"/>
      <c r="B24" s="13"/>
      <c r="C24" s="17"/>
      <c r="D24" s="13"/>
      <c r="E24" s="13"/>
      <c r="F24" s="18"/>
    </row>
    <row r="25" spans="1:6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1.5365000000000002</v>
      </c>
    </row>
    <row r="26" spans="1:6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4.2253749999999997</v>
      </c>
    </row>
    <row r="27" spans="1:6" s="5" customFormat="1" ht="15" x14ac:dyDescent="0.25">
      <c r="A27" s="16"/>
      <c r="B27" s="13"/>
      <c r="C27" s="17"/>
      <c r="D27" s="13"/>
      <c r="E27" s="13"/>
      <c r="F27" s="18"/>
    </row>
    <row r="28" spans="1:6" ht="15" x14ac:dyDescent="0.25">
      <c r="A28" s="50" t="s">
        <v>16</v>
      </c>
      <c r="B28" s="51"/>
      <c r="C28" s="52"/>
      <c r="D28" s="51"/>
      <c r="E28" s="51"/>
      <c r="F28" s="53">
        <f>SUM(F23:F27)</f>
        <v>21.126874999999998</v>
      </c>
    </row>
    <row r="29" spans="1:6" x14ac:dyDescent="0.25">
      <c r="E29" s="6"/>
    </row>
    <row r="30" spans="1:6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6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</row>
    <row r="32" spans="1:6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7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</row>
    <row r="34" spans="1:7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</row>
    <row r="35" spans="1:7" x14ac:dyDescent="0.25">
      <c r="A35" s="8">
        <v>2</v>
      </c>
      <c r="B35" s="9" t="s">
        <v>12</v>
      </c>
      <c r="C35" s="33"/>
      <c r="D35" s="34"/>
      <c r="E35" s="34"/>
      <c r="F35" s="12">
        <f>SUBTOTAL(9,F36)</f>
        <v>3.7336251650601526</v>
      </c>
    </row>
    <row r="36" spans="1:7" ht="25.5" x14ac:dyDescent="0.25">
      <c r="A36" s="29">
        <f>A35+0.1</f>
        <v>2.1</v>
      </c>
      <c r="B36" s="15" t="s">
        <v>71</v>
      </c>
      <c r="C36" s="30">
        <v>536000</v>
      </c>
      <c r="D36" s="31">
        <v>5</v>
      </c>
      <c r="E36" s="31">
        <v>100</v>
      </c>
      <c r="F36" s="32">
        <f>$C36*((1+$F$30)^$E36-1)/(((1+$F$30)^D36-1)*(1+$F$30)^$E36)/1000000</f>
        <v>3.7336251650601526</v>
      </c>
    </row>
    <row r="37" spans="1:7" x14ac:dyDescent="0.25">
      <c r="A37" s="8">
        <v>3</v>
      </c>
      <c r="B37" s="9" t="s">
        <v>24</v>
      </c>
      <c r="C37" s="33"/>
      <c r="D37" s="34"/>
      <c r="E37" s="34"/>
      <c r="F37" s="12">
        <f>SUBTOTAL(9,F38:F38)</f>
        <v>3.1541523679947696</v>
      </c>
    </row>
    <row r="38" spans="1:7" ht="25.5" x14ac:dyDescent="0.25">
      <c r="A38" s="29">
        <f>A37+0.1</f>
        <v>3.1</v>
      </c>
      <c r="B38" s="15" t="s">
        <v>69</v>
      </c>
      <c r="C38" s="30">
        <v>1246000</v>
      </c>
      <c r="D38" s="62">
        <f>2/4*25</f>
        <v>12.5</v>
      </c>
      <c r="E38" s="31">
        <v>100</v>
      </c>
      <c r="F38" s="32">
        <f>$C38*((1+$F$30)^$E38-1)/(((1+$F$30)^D38-1)*(1+$F$30)^$E38)/1000000</f>
        <v>3.1541523679947696</v>
      </c>
    </row>
    <row r="39" spans="1:7" x14ac:dyDescent="0.25">
      <c r="A39" s="19" t="s">
        <v>6</v>
      </c>
      <c r="B39" s="20"/>
      <c r="C39" s="21"/>
      <c r="D39" s="20"/>
      <c r="E39" s="20"/>
      <c r="F39" s="22">
        <f>SUBTOTAL(9,F32:F38)</f>
        <v>8.5218514902288938</v>
      </c>
    </row>
    <row r="40" spans="1:7" x14ac:dyDescent="0.25">
      <c r="A40" s="16"/>
      <c r="B40" s="13"/>
      <c r="C40" s="17"/>
      <c r="D40" s="13"/>
      <c r="E40" s="13"/>
      <c r="F40" s="18"/>
    </row>
    <row r="41" spans="1:7" ht="15" x14ac:dyDescent="0.25">
      <c r="A41" s="50" t="str">
        <f>"Total Estimated Operational Costs (Over " &amp; TEXT(100,"0") &amp; "-Year Period)"</f>
        <v>Total Estimated Operational Costs (Over 100-Year Period)</v>
      </c>
      <c r="B41" s="51"/>
      <c r="C41" s="52"/>
      <c r="D41" s="51"/>
      <c r="E41" s="51"/>
      <c r="F41" s="53">
        <f>SUM(F39:F40)</f>
        <v>8.5218514902288938</v>
      </c>
    </row>
    <row r="42" spans="1:7" ht="15" x14ac:dyDescent="0.25">
      <c r="A42" s="50" t="s">
        <v>34</v>
      </c>
      <c r="B42" s="51"/>
      <c r="C42" s="52"/>
      <c r="D42" s="51"/>
      <c r="E42" s="51"/>
      <c r="F42" s="56">
        <f>F41*F30*(1+F30)^100/((1+F30)^100-1)</f>
        <v>0.23274777380662462</v>
      </c>
    </row>
    <row r="44" spans="1:7" ht="15.75" x14ac:dyDescent="0.25">
      <c r="A44" s="35" t="str">
        <f>"Total Estimated Lifecycle Costs (Over " &amp; TEXT(100,"0") &amp; "-Year Period)"</f>
        <v>Total Estimated Lifecycle Costs (Over 100-Year Period)</v>
      </c>
      <c r="B44" s="43"/>
      <c r="C44" s="44"/>
      <c r="D44" s="43"/>
      <c r="E44" s="43"/>
      <c r="F44" s="45">
        <f>F28+F41</f>
        <v>29.648726490228892</v>
      </c>
    </row>
    <row r="46" spans="1:7" s="4" customFormat="1" ht="15.75" x14ac:dyDescent="0.25">
      <c r="A46" s="1"/>
      <c r="B46" s="1"/>
      <c r="C46" s="1"/>
      <c r="D46" s="1"/>
      <c r="E46" s="1"/>
      <c r="F46" s="1"/>
      <c r="G46" s="57"/>
    </row>
    <row r="47" spans="1:7" ht="15.75" x14ac:dyDescent="0.25">
      <c r="A47" s="35" t="s">
        <v>56</v>
      </c>
      <c r="B47" s="36"/>
      <c r="C47" s="37"/>
      <c r="D47" s="38"/>
      <c r="E47" s="39" t="s">
        <v>47</v>
      </c>
      <c r="F47" s="40">
        <v>2.5000000000000001E-2</v>
      </c>
    </row>
    <row r="48" spans="1:7" s="5" customFormat="1" ht="30" x14ac:dyDescent="0.25">
      <c r="A48" s="23" t="s">
        <v>1</v>
      </c>
      <c r="B48" s="24" t="s">
        <v>2</v>
      </c>
      <c r="C48" s="26" t="s">
        <v>14</v>
      </c>
      <c r="D48" s="26" t="s">
        <v>9</v>
      </c>
      <c r="E48" s="26" t="s">
        <v>13</v>
      </c>
      <c r="F48" s="27" t="s">
        <v>0</v>
      </c>
    </row>
    <row r="49" spans="1:8" x14ac:dyDescent="0.25">
      <c r="A49" s="8">
        <v>1</v>
      </c>
      <c r="B49" s="75" t="s">
        <v>64</v>
      </c>
      <c r="C49" s="76">
        <v>40000</v>
      </c>
      <c r="D49" s="34">
        <v>4</v>
      </c>
      <c r="E49" s="34">
        <v>100</v>
      </c>
      <c r="F49" s="12">
        <f>$C49*((1+$F$30)^$E49-1)/(((1+$F$30)^D49-1)*(1+$F$30)^$E49)/1000000</f>
        <v>0.35269324497223581</v>
      </c>
      <c r="G49" s="57"/>
      <c r="H49" s="7"/>
    </row>
    <row r="50" spans="1:8" ht="25.5" x14ac:dyDescent="0.25">
      <c r="A50" s="8">
        <v>2</v>
      </c>
      <c r="B50" s="75" t="s">
        <v>78</v>
      </c>
      <c r="C50" s="76">
        <v>3898000</v>
      </c>
      <c r="D50" s="34">
        <v>20</v>
      </c>
      <c r="E50" s="34">
        <v>100</v>
      </c>
      <c r="F50" s="12">
        <f t="shared" ref="F50:F51" si="0">$C50*((1+$F$30)^$E50-1)/(((1+$F$30)^D50-1)*(1+$F$30)^$E50)/1000000</f>
        <v>5.5871479857314545</v>
      </c>
      <c r="G50" s="57"/>
      <c r="H50" s="7"/>
    </row>
    <row r="51" spans="1:8" ht="25.5" x14ac:dyDescent="0.25">
      <c r="A51" s="8">
        <v>3</v>
      </c>
      <c r="B51" s="77" t="s">
        <v>79</v>
      </c>
      <c r="C51" s="78">
        <v>1789000</v>
      </c>
      <c r="D51" s="79">
        <v>50</v>
      </c>
      <c r="E51" s="34">
        <v>100</v>
      </c>
      <c r="F51" s="12">
        <f t="shared" si="0"/>
        <v>0.67192975213392203</v>
      </c>
      <c r="G51" s="57"/>
      <c r="H51" s="7"/>
    </row>
    <row r="52" spans="1:8" x14ac:dyDescent="0.25">
      <c r="A52" s="19" t="s">
        <v>6</v>
      </c>
      <c r="B52" s="20"/>
      <c r="C52" s="21"/>
      <c r="D52" s="20"/>
      <c r="E52" s="20"/>
      <c r="F52" s="22">
        <f>SUBTOTAL(9,F49:F51)</f>
        <v>6.6117709828376121</v>
      </c>
      <c r="G52" s="57"/>
      <c r="H52" s="7"/>
    </row>
    <row r="53" spans="1:8" x14ac:dyDescent="0.25">
      <c r="A53" s="16"/>
      <c r="B53" s="13"/>
      <c r="C53" s="17"/>
      <c r="D53" s="13"/>
      <c r="E53" s="13"/>
      <c r="F53" s="18"/>
    </row>
    <row r="54" spans="1:8" s="5" customFormat="1" ht="15" x14ac:dyDescent="0.25">
      <c r="A54" s="50" t="str">
        <f>"Total Estimated Cost (Over " &amp; TEXT(100,"0") &amp; "-Year Period)"</f>
        <v>Total Estimated Cost (Over 100-Year Period)</v>
      </c>
      <c r="B54" s="51"/>
      <c r="C54" s="52"/>
      <c r="D54" s="51"/>
      <c r="E54" s="51"/>
      <c r="F54" s="53">
        <f>SUM(F52:F53)</f>
        <v>6.6117709828376121</v>
      </c>
    </row>
    <row r="55" spans="1:8" s="5" customFormat="1" ht="15" x14ac:dyDescent="0.25">
      <c r="A55" s="50" t="s">
        <v>67</v>
      </c>
      <c r="B55" s="51"/>
      <c r="C55" s="52"/>
      <c r="D55" s="51"/>
      <c r="E55" s="51"/>
      <c r="F55" s="56">
        <f>F54*F47*(1+F47)^100/((1+F47)^100-1)</f>
        <v>0.18057988676981265</v>
      </c>
    </row>
    <row r="56" spans="1:8" x14ac:dyDescent="0.25">
      <c r="A56" s="82" t="s">
        <v>65</v>
      </c>
      <c r="B56" s="82"/>
      <c r="C56" s="82"/>
      <c r="D56" s="82"/>
      <c r="E56" s="82"/>
      <c r="F56" s="82"/>
    </row>
    <row r="57" spans="1:8" x14ac:dyDescent="0.25">
      <c r="A57" s="83"/>
      <c r="B57" s="83"/>
      <c r="C57" s="83"/>
      <c r="D57" s="83"/>
      <c r="E57" s="83"/>
      <c r="F57" s="83"/>
    </row>
  </sheetData>
  <mergeCells count="3">
    <mergeCell ref="E6:F6"/>
    <mergeCell ref="A56:F57"/>
    <mergeCell ref="E7:F7"/>
  </mergeCell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85" zoomScaleNormal="85" workbookViewId="0">
      <selection activeCell="A22" sqref="A22"/>
    </sheetView>
  </sheetViews>
  <sheetFormatPr defaultRowHeight="14.25" x14ac:dyDescent="0.25"/>
  <cols>
    <col min="1" max="1" width="11.28515625" style="1" customWidth="1"/>
    <col min="2" max="2" width="37.7109375" style="1" customWidth="1"/>
    <col min="3" max="3" width="13.5703125" style="2" customWidth="1"/>
    <col min="4" max="4" width="13.5703125" style="1" customWidth="1"/>
    <col min="5" max="5" width="12.7109375" style="1" customWidth="1"/>
    <col min="6" max="6" width="27.42578125" style="1" customWidth="1"/>
    <col min="7" max="7" width="14.42578125" style="1" bestFit="1" customWidth="1"/>
    <col min="8" max="8" width="9" style="1" customWidth="1"/>
    <col min="9" max="16384" width="9.140625" style="1"/>
  </cols>
  <sheetData>
    <row r="1" spans="1:7" x14ac:dyDescent="0.2">
      <c r="C1" s="46" t="s">
        <v>25</v>
      </c>
      <c r="D1" s="47"/>
      <c r="E1" s="46" t="s">
        <v>58</v>
      </c>
      <c r="F1" s="48"/>
      <c r="G1" s="47"/>
    </row>
    <row r="2" spans="1:7" x14ac:dyDescent="0.2">
      <c r="C2" s="46" t="s">
        <v>26</v>
      </c>
      <c r="D2" s="47"/>
      <c r="E2" s="49" t="s">
        <v>37</v>
      </c>
      <c r="F2" s="48"/>
      <c r="G2" s="47"/>
    </row>
    <row r="3" spans="1:7" x14ac:dyDescent="0.2">
      <c r="C3" s="46" t="s">
        <v>27</v>
      </c>
      <c r="D3" s="47"/>
      <c r="E3" s="49" t="s">
        <v>55</v>
      </c>
      <c r="F3" s="48"/>
      <c r="G3" s="47"/>
    </row>
    <row r="4" spans="1:7" x14ac:dyDescent="0.2">
      <c r="C4" s="46" t="s">
        <v>28</v>
      </c>
      <c r="D4" s="47"/>
      <c r="E4" s="49" t="s">
        <v>54</v>
      </c>
      <c r="F4" s="48"/>
      <c r="G4" s="47"/>
    </row>
    <row r="5" spans="1:7" x14ac:dyDescent="0.2">
      <c r="C5" s="46" t="s">
        <v>29</v>
      </c>
      <c r="D5" s="47"/>
      <c r="E5" s="47" t="s">
        <v>31</v>
      </c>
      <c r="F5" s="48"/>
      <c r="G5" s="47"/>
    </row>
    <row r="6" spans="1:7" x14ac:dyDescent="0.2">
      <c r="C6" s="46" t="s">
        <v>30</v>
      </c>
      <c r="D6" s="47"/>
      <c r="E6" s="81">
        <v>41726</v>
      </c>
      <c r="F6" s="81"/>
      <c r="G6" s="47"/>
    </row>
    <row r="7" spans="1:7" ht="15" x14ac:dyDescent="0.25">
      <c r="C7" s="46" t="s">
        <v>68</v>
      </c>
      <c r="E7" s="84">
        <v>0</v>
      </c>
      <c r="F7" s="84"/>
    </row>
    <row r="8" spans="1:7" ht="18" x14ac:dyDescent="0.25">
      <c r="A8" s="3" t="s">
        <v>32</v>
      </c>
    </row>
    <row r="9" spans="1:7" ht="15.75" x14ac:dyDescent="0.25">
      <c r="A9" s="35" t="s">
        <v>15</v>
      </c>
      <c r="B9" s="36"/>
      <c r="C9" s="41"/>
      <c r="D9" s="36"/>
      <c r="E9" s="36"/>
      <c r="F9" s="42"/>
    </row>
    <row r="10" spans="1:7" s="4" customFormat="1" ht="30" x14ac:dyDescent="0.25">
      <c r="A10" s="23" t="s">
        <v>1</v>
      </c>
      <c r="B10" s="24" t="s">
        <v>2</v>
      </c>
      <c r="C10" s="25"/>
      <c r="D10" s="26"/>
      <c r="E10" s="25"/>
      <c r="F10" s="27" t="s">
        <v>14</v>
      </c>
    </row>
    <row r="11" spans="1:7" s="5" customFormat="1" ht="15" x14ac:dyDescent="0.25">
      <c r="A11" s="8">
        <v>1</v>
      </c>
      <c r="B11" s="9" t="s">
        <v>4</v>
      </c>
      <c r="C11" s="10"/>
      <c r="D11" s="9"/>
      <c r="E11" s="11"/>
      <c r="F11" s="12">
        <v>0.64600000000000002</v>
      </c>
    </row>
    <row r="12" spans="1:7" x14ac:dyDescent="0.25">
      <c r="A12" s="8">
        <v>2</v>
      </c>
      <c r="B12" s="9" t="s">
        <v>19</v>
      </c>
      <c r="C12" s="10"/>
      <c r="D12" s="14"/>
      <c r="E12" s="11"/>
      <c r="F12" s="12">
        <v>3.6080000000000001</v>
      </c>
    </row>
    <row r="13" spans="1:7" s="5" customFormat="1" ht="15" x14ac:dyDescent="0.25">
      <c r="A13" s="8">
        <v>3</v>
      </c>
      <c r="B13" s="9" t="s">
        <v>17</v>
      </c>
      <c r="C13" s="10"/>
      <c r="D13" s="14"/>
      <c r="E13" s="11"/>
      <c r="F13" s="12">
        <v>2.2130000000000001</v>
      </c>
    </row>
    <row r="14" spans="1:7" s="5" customFormat="1" ht="15" x14ac:dyDescent="0.25">
      <c r="A14" s="8">
        <v>4</v>
      </c>
      <c r="B14" s="9" t="s">
        <v>44</v>
      </c>
      <c r="C14" s="10"/>
      <c r="D14" s="14"/>
      <c r="E14" s="11"/>
      <c r="F14" s="12">
        <v>0.22</v>
      </c>
    </row>
    <row r="15" spans="1:7" s="5" customFormat="1" ht="15" x14ac:dyDescent="0.25">
      <c r="A15" s="8">
        <v>5</v>
      </c>
      <c r="B15" s="9" t="s">
        <v>18</v>
      </c>
      <c r="C15" s="10"/>
      <c r="D15" s="14"/>
      <c r="E15" s="11"/>
      <c r="F15" s="12">
        <v>1.125</v>
      </c>
    </row>
    <row r="16" spans="1:7" x14ac:dyDescent="0.25">
      <c r="A16" s="8">
        <v>6</v>
      </c>
      <c r="B16" s="9" t="s">
        <v>50</v>
      </c>
      <c r="C16" s="10"/>
      <c r="D16" s="14"/>
      <c r="E16" s="11"/>
      <c r="F16" s="12">
        <v>0.91</v>
      </c>
    </row>
    <row r="17" spans="1:9" x14ac:dyDescent="0.25">
      <c r="A17" s="8">
        <v>7</v>
      </c>
      <c r="B17" s="9" t="s">
        <v>20</v>
      </c>
      <c r="C17" s="10"/>
      <c r="D17" s="14"/>
      <c r="E17" s="11"/>
      <c r="F17" s="12">
        <v>0.218</v>
      </c>
    </row>
    <row r="18" spans="1:9" s="5" customFormat="1" ht="15" x14ac:dyDescent="0.25">
      <c r="A18" s="8">
        <v>8</v>
      </c>
      <c r="B18" s="9" t="s">
        <v>21</v>
      </c>
      <c r="C18" s="10"/>
      <c r="D18" s="9"/>
      <c r="E18" s="11"/>
      <c r="F18" s="12">
        <v>0.74199999999999999</v>
      </c>
    </row>
    <row r="19" spans="1:9" x14ac:dyDescent="0.25">
      <c r="A19" s="8">
        <v>9</v>
      </c>
      <c r="B19" s="9" t="s">
        <v>61</v>
      </c>
      <c r="C19" s="10"/>
      <c r="D19" s="14"/>
      <c r="E19" s="11"/>
      <c r="F19" s="12">
        <v>0.78800000000000003</v>
      </c>
    </row>
    <row r="20" spans="1:9" x14ac:dyDescent="0.25">
      <c r="A20" s="8">
        <v>10</v>
      </c>
      <c r="B20" s="9" t="s">
        <v>22</v>
      </c>
      <c r="C20" s="10"/>
      <c r="D20" s="14"/>
      <c r="E20" s="11"/>
      <c r="F20" s="12">
        <v>1.7000000000000001E-2</v>
      </c>
    </row>
    <row r="21" spans="1:9" s="5" customFormat="1" ht="15" x14ac:dyDescent="0.25">
      <c r="A21" s="8">
        <v>11</v>
      </c>
      <c r="B21" s="9" t="s">
        <v>5</v>
      </c>
      <c r="C21" s="10"/>
      <c r="D21" s="10"/>
      <c r="E21" s="11"/>
      <c r="F21" s="12">
        <v>5.2619999999999996</v>
      </c>
    </row>
    <row r="22" spans="1:9" x14ac:dyDescent="0.25">
      <c r="A22" s="16" t="s">
        <v>88</v>
      </c>
      <c r="B22" s="13"/>
      <c r="C22" s="17"/>
      <c r="D22" s="13"/>
      <c r="E22" s="13"/>
      <c r="F22" s="18"/>
    </row>
    <row r="23" spans="1:9" s="4" customFormat="1" ht="15" customHeight="1" x14ac:dyDescent="0.25">
      <c r="A23" s="19" t="s">
        <v>6</v>
      </c>
      <c r="B23" s="20"/>
      <c r="C23" s="21"/>
      <c r="D23" s="20"/>
      <c r="E23" s="20"/>
      <c r="F23" s="22">
        <f>SUBTOTAL(9,F11:F22)</f>
        <v>15.748999999999999</v>
      </c>
    </row>
    <row r="24" spans="1:9" s="4" customFormat="1" ht="15.75" x14ac:dyDescent="0.25">
      <c r="A24" s="16"/>
      <c r="B24" s="13"/>
      <c r="C24" s="17"/>
      <c r="D24" s="13"/>
      <c r="E24" s="13"/>
      <c r="F24" s="18"/>
    </row>
    <row r="25" spans="1:9" s="4" customFormat="1" ht="15.75" x14ac:dyDescent="0.25">
      <c r="A25" s="8"/>
      <c r="B25" s="9" t="s">
        <v>23</v>
      </c>
      <c r="C25" s="10"/>
      <c r="D25" s="10"/>
      <c r="E25" s="11"/>
      <c r="F25" s="12">
        <f>F23*0.1</f>
        <v>1.5749</v>
      </c>
    </row>
    <row r="26" spans="1:9" s="5" customFormat="1" ht="15" x14ac:dyDescent="0.25">
      <c r="A26" s="8"/>
      <c r="B26" s="9" t="s">
        <v>45</v>
      </c>
      <c r="C26" s="10"/>
      <c r="D26" s="9"/>
      <c r="E26" s="9"/>
      <c r="F26" s="12">
        <f>SUM(F23:F25)*0.25</f>
        <v>4.3309749999999996</v>
      </c>
    </row>
    <row r="27" spans="1:9" s="5" customFormat="1" ht="15" x14ac:dyDescent="0.25">
      <c r="A27" s="16"/>
      <c r="B27" s="13"/>
      <c r="C27" s="17"/>
      <c r="D27" s="13"/>
      <c r="E27" s="13"/>
      <c r="F27" s="18"/>
    </row>
    <row r="28" spans="1:9" ht="15" x14ac:dyDescent="0.25">
      <c r="A28" s="50" t="s">
        <v>16</v>
      </c>
      <c r="B28" s="51"/>
      <c r="C28" s="52"/>
      <c r="D28" s="51"/>
      <c r="E28" s="51"/>
      <c r="F28" s="53">
        <f>SUM(F23:F27)</f>
        <v>21.654874999999997</v>
      </c>
    </row>
    <row r="29" spans="1:9" x14ac:dyDescent="0.25">
      <c r="A29" s="72"/>
      <c r="B29" s="72"/>
      <c r="C29" s="73"/>
      <c r="D29" s="72"/>
      <c r="E29" s="74"/>
      <c r="F29" s="72"/>
    </row>
    <row r="30" spans="1:9" ht="15.75" x14ac:dyDescent="0.25">
      <c r="A30" s="35" t="s">
        <v>7</v>
      </c>
      <c r="B30" s="36"/>
      <c r="C30" s="37"/>
      <c r="D30" s="38"/>
      <c r="E30" s="39" t="s">
        <v>47</v>
      </c>
      <c r="F30" s="40">
        <v>2.5000000000000001E-2</v>
      </c>
    </row>
    <row r="31" spans="1:9" s="4" customFormat="1" ht="30" x14ac:dyDescent="0.25">
      <c r="A31" s="23" t="s">
        <v>1</v>
      </c>
      <c r="B31" s="24" t="s">
        <v>2</v>
      </c>
      <c r="C31" s="26" t="s">
        <v>14</v>
      </c>
      <c r="D31" s="26" t="s">
        <v>9</v>
      </c>
      <c r="E31" s="26" t="s">
        <v>13</v>
      </c>
      <c r="F31" s="27" t="s">
        <v>0</v>
      </c>
      <c r="I31" s="5"/>
    </row>
    <row r="32" spans="1:9" s="5" customFormat="1" ht="15" x14ac:dyDescent="0.25">
      <c r="A32" s="8">
        <v>1</v>
      </c>
      <c r="B32" s="9" t="s">
        <v>10</v>
      </c>
      <c r="C32" s="28"/>
      <c r="D32" s="28"/>
      <c r="E32" s="11"/>
      <c r="F32" s="12">
        <f>SUBTOTAL(9,F33:F34)</f>
        <v>1.6340739571739724</v>
      </c>
    </row>
    <row r="33" spans="1:8" x14ac:dyDescent="0.25">
      <c r="A33" s="29">
        <f>A32+0.1</f>
        <v>1.1000000000000001</v>
      </c>
      <c r="B33" s="13" t="s">
        <v>8</v>
      </c>
      <c r="C33" s="30">
        <v>15000</v>
      </c>
      <c r="D33" s="31">
        <v>1</v>
      </c>
      <c r="E33" s="31">
        <v>100</v>
      </c>
      <c r="F33" s="32">
        <f>$C33*((1+$F$30)^$E33-1)/(((1+$F$30)^D33-1)*(1+$F$30)^$E33)/1000000</f>
        <v>0.54921157896718642</v>
      </c>
      <c r="H33" s="7"/>
    </row>
    <row r="34" spans="1:8" x14ac:dyDescent="0.25">
      <c r="A34" s="29">
        <f>A33+0.1</f>
        <v>1.2000000000000002</v>
      </c>
      <c r="B34" s="13" t="s">
        <v>11</v>
      </c>
      <c r="C34" s="30">
        <v>60000</v>
      </c>
      <c r="D34" s="31">
        <v>2</v>
      </c>
      <c r="E34" s="31">
        <v>100</v>
      </c>
      <c r="F34" s="32">
        <f>$C34*((1+$F$30)^$E34-1)/(((1+$F$30)^D34-1)*(1+$F$30)^$E34)/1000000</f>
        <v>1.0848623782067861</v>
      </c>
      <c r="H34" s="7"/>
    </row>
    <row r="35" spans="1:8" x14ac:dyDescent="0.25">
      <c r="A35" s="19" t="s">
        <v>6</v>
      </c>
      <c r="B35" s="20"/>
      <c r="C35" s="21"/>
      <c r="D35" s="20"/>
      <c r="E35" s="20"/>
      <c r="F35" s="22">
        <f>SUBTOTAL(9,F32:F34)</f>
        <v>1.6340739571739724</v>
      </c>
      <c r="G35" s="57"/>
      <c r="H35" s="7"/>
    </row>
    <row r="36" spans="1:8" x14ac:dyDescent="0.25">
      <c r="A36" s="16"/>
      <c r="B36" s="13"/>
      <c r="C36" s="17"/>
      <c r="D36" s="13"/>
      <c r="E36" s="13"/>
      <c r="F36" s="18"/>
    </row>
    <row r="37" spans="1:8" s="5" customFormat="1" ht="15" x14ac:dyDescent="0.25">
      <c r="A37" s="50" t="str">
        <f>"Total Estimated Operational Costs (Over " &amp; TEXT(100,"0") &amp; "-Year Period)"</f>
        <v>Total Estimated Operational Costs (Over 100-Year Period)</v>
      </c>
      <c r="B37" s="51"/>
      <c r="C37" s="52"/>
      <c r="D37" s="51"/>
      <c r="E37" s="51"/>
      <c r="F37" s="53">
        <f>SUM(F35:F36)</f>
        <v>1.6340739571739724</v>
      </c>
    </row>
    <row r="38" spans="1:8" s="5" customFormat="1" ht="15" x14ac:dyDescent="0.25">
      <c r="A38" s="50" t="s">
        <v>34</v>
      </c>
      <c r="B38" s="51"/>
      <c r="C38" s="52"/>
      <c r="D38" s="51"/>
      <c r="E38" s="51"/>
      <c r="F38" s="56">
        <f>F37*F30*(1+F30)^100/((1+F30)^100-1)</f>
        <v>4.4629629629629734E-2</v>
      </c>
    </row>
    <row r="39" spans="1:8" ht="15" customHeight="1" x14ac:dyDescent="0.25"/>
    <row r="40" spans="1:8" s="5" customFormat="1" ht="15.75" x14ac:dyDescent="0.25">
      <c r="A40" s="35" t="str">
        <f>"Total Estimated Lifecycle Costs (Over " &amp; TEXT(100,"0") &amp; "-Year Period)"</f>
        <v>Total Estimated Lifecycle Costs (Over 100-Year Period)</v>
      </c>
      <c r="B40" s="43"/>
      <c r="C40" s="44"/>
      <c r="D40" s="43"/>
      <c r="E40" s="43"/>
      <c r="F40" s="45">
        <f>F28+F37</f>
        <v>23.288948957173968</v>
      </c>
    </row>
    <row r="41" spans="1:8" x14ac:dyDescent="0.25">
      <c r="A41" s="82" t="s">
        <v>66</v>
      </c>
      <c r="B41" s="82"/>
      <c r="C41" s="82"/>
      <c r="D41" s="82"/>
      <c r="E41" s="82"/>
      <c r="F41" s="82"/>
    </row>
    <row r="42" spans="1:8" x14ac:dyDescent="0.25">
      <c r="A42" s="83"/>
      <c r="B42" s="83"/>
      <c r="C42" s="83"/>
      <c r="D42" s="83"/>
      <c r="E42" s="83"/>
      <c r="F42" s="83"/>
    </row>
  </sheetData>
  <mergeCells count="3">
    <mergeCell ref="E6:F6"/>
    <mergeCell ref="A41:F42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CC-A</vt:lpstr>
      <vt:lpstr>CC-B</vt:lpstr>
      <vt:lpstr>CC-B2</vt:lpstr>
      <vt:lpstr>CC-C</vt:lpstr>
      <vt:lpstr>CC-C2</vt:lpstr>
      <vt:lpstr>CC-C3</vt:lpstr>
      <vt:lpstr>CC-D</vt:lpstr>
      <vt:lpstr>CC-D2</vt:lpstr>
      <vt:lpstr>CC-D3</vt:lpstr>
      <vt:lpstr>CC-E</vt:lpstr>
      <vt:lpstr>CC-E2</vt:lpstr>
      <vt:lpstr>CC-E3</vt:lpstr>
      <vt:lpstr>CC-F</vt:lpstr>
      <vt:lpstr>CC-G</vt:lpstr>
      <vt:lpstr>CC-H</vt:lpstr>
      <vt:lpstr>CC-I</vt:lpstr>
      <vt:lpstr>CC-I2</vt:lpstr>
      <vt:lpstr>'CC-A'!Print_Area</vt:lpstr>
      <vt:lpstr>'CC-B'!Print_Area</vt:lpstr>
      <vt:lpstr>'CC-B2'!Print_Area</vt:lpstr>
      <vt:lpstr>'CC-C'!Print_Area</vt:lpstr>
      <vt:lpstr>'CC-C2'!Print_Area</vt:lpstr>
      <vt:lpstr>'CC-C3'!Print_Area</vt:lpstr>
      <vt:lpstr>'CC-D'!Print_Area</vt:lpstr>
      <vt:lpstr>'CC-D2'!Print_Area</vt:lpstr>
      <vt:lpstr>'CC-D3'!Print_Area</vt:lpstr>
      <vt:lpstr>'CC-E'!Print_Area</vt:lpstr>
      <vt:lpstr>'CC-E2'!Print_Area</vt:lpstr>
      <vt:lpstr>'CC-E3'!Print_Area</vt:lpstr>
      <vt:lpstr>'CC-F'!Print_Area</vt:lpstr>
      <vt:lpstr>'CC-G'!Print_Area</vt:lpstr>
      <vt:lpstr>'CC-H'!Print_Area</vt:lpstr>
      <vt:lpstr>'CC-I'!Print_Area</vt:lpstr>
      <vt:lpstr>'CC-I2'!Print_Area</vt:lpstr>
    </vt:vector>
  </TitlesOfParts>
  <Company>WorleyParsons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Stephen J. (Vancouver)</dc:creator>
  <cp:lastModifiedBy>Clark, Stephen J. (Vancouver)</cp:lastModifiedBy>
  <cp:lastPrinted>2014-03-25T00:03:41Z</cp:lastPrinted>
  <dcterms:created xsi:type="dcterms:W3CDTF">2013-11-07T17:22:07Z</dcterms:created>
  <dcterms:modified xsi:type="dcterms:W3CDTF">2014-03-28T17:28:49Z</dcterms:modified>
</cp:coreProperties>
</file>