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8195" windowHeight="11340" firstSheet="1" activeTab="1"/>
  </bookViews>
  <sheets>
    <sheet name="MTO &amp; Cap Costs" sheetId="3" state="hidden" r:id="rId1"/>
    <sheet name="WC-A" sheetId="14" r:id="rId2"/>
    <sheet name="WC-B" sheetId="5" r:id="rId3"/>
    <sheet name="WC-C" sheetId="25" r:id="rId4"/>
    <sheet name="WC-D" sheetId="26" r:id="rId5"/>
    <sheet name="WC-D2" sheetId="29" r:id="rId6"/>
    <sheet name="WC-E" sheetId="28" r:id="rId7"/>
    <sheet name="WC-E2" sheetId="30" r:id="rId8"/>
  </sheets>
  <definedNames>
    <definedName name="_xlnm.Print_Area" localSheetId="0">'MTO &amp; Cap Costs'!$A$1:$K$26</definedName>
    <definedName name="_xlnm.Print_Area" localSheetId="1">'WC-A'!$A$1:$F$34</definedName>
    <definedName name="_xlnm.Print_Area" localSheetId="2">'WC-B'!$A$1:$F$43</definedName>
    <definedName name="_xlnm.Print_Area" localSheetId="3">'WC-C'!$A$1:$F$57</definedName>
    <definedName name="_xlnm.Print_Area" localSheetId="4">'WC-D'!$A$1:$F$59</definedName>
    <definedName name="_xlnm.Print_Area" localSheetId="5">'WC-D2'!$A$1:$F$57</definedName>
    <definedName name="_xlnm.Print_Area" localSheetId="6">'WC-E'!$A$1:$F$46</definedName>
    <definedName name="_xlnm.Print_Area" localSheetId="7">'WC-E2'!$A$1:$F$44</definedName>
  </definedNames>
  <calcPr calcId="145621" calcMode="manual"/>
</workbook>
</file>

<file path=xl/calcChain.xml><?xml version="1.0" encoding="utf-8"?>
<calcChain xmlns="http://schemas.openxmlformats.org/spreadsheetml/2006/main">
  <c r="F40" i="30" l="1"/>
  <c r="F42" i="28"/>
  <c r="F42" i="29"/>
  <c r="F44" i="26"/>
  <c r="F42" i="25"/>
  <c r="F39" i="5"/>
  <c r="F30" i="14"/>
  <c r="A54" i="29" l="1"/>
  <c r="A56" i="26"/>
  <c r="A54" i="25"/>
  <c r="A42" i="30"/>
  <c r="A39" i="30"/>
  <c r="A44" i="28"/>
  <c r="A41" i="28"/>
  <c r="A44" i="29"/>
  <c r="A41" i="29"/>
  <c r="A46" i="26"/>
  <c r="A43" i="26"/>
  <c r="A44" i="25"/>
  <c r="A41" i="25"/>
  <c r="A41" i="5"/>
  <c r="A38" i="5"/>
  <c r="A32" i="14"/>
  <c r="A29" i="14"/>
  <c r="C51" i="29" l="1"/>
  <c r="C53" i="26"/>
  <c r="C51" i="25"/>
  <c r="F25" i="30" l="1"/>
  <c r="F26" i="28"/>
  <c r="F25" i="26"/>
  <c r="F24" i="25"/>
  <c r="F23" i="5"/>
  <c r="F36" i="30"/>
  <c r="F35" i="30" s="1"/>
  <c r="A36" i="30"/>
  <c r="A38" i="28"/>
  <c r="A35" i="29"/>
  <c r="A37" i="26"/>
  <c r="A36" i="26"/>
  <c r="A35" i="25"/>
  <c r="A35" i="5" l="1"/>
  <c r="A26" i="14"/>
  <c r="A33" i="30" l="1"/>
  <c r="A34" i="30" s="1"/>
  <c r="F23" i="30"/>
  <c r="A32" i="29"/>
  <c r="A33" i="29" s="1"/>
  <c r="F35" i="29"/>
  <c r="F34" i="29" s="1"/>
  <c r="F22" i="29"/>
  <c r="F24" i="29" s="1"/>
  <c r="F50" i="29" l="1"/>
  <c r="F51" i="29"/>
  <c r="F49" i="29"/>
  <c r="F33" i="29"/>
  <c r="F37" i="29"/>
  <c r="F36" i="29" s="1"/>
  <c r="F33" i="30"/>
  <c r="F26" i="30"/>
  <c r="F28" i="30" s="1"/>
  <c r="F34" i="30"/>
  <c r="F32" i="29"/>
  <c r="F25" i="29"/>
  <c r="F38" i="29"/>
  <c r="F31" i="29" l="1"/>
  <c r="F39" i="29" s="1"/>
  <c r="F41" i="29" s="1"/>
  <c r="F52" i="29"/>
  <c r="F54" i="29" s="1"/>
  <c r="F55" i="29" s="1"/>
  <c r="F32" i="30"/>
  <c r="F27" i="29"/>
  <c r="I25" i="3"/>
  <c r="I26" i="3"/>
  <c r="G26" i="3"/>
  <c r="H26" i="3"/>
  <c r="K26" i="3"/>
  <c r="G25" i="3"/>
  <c r="H25" i="3"/>
  <c r="K25" i="3"/>
  <c r="J25" i="3"/>
  <c r="J26" i="3"/>
  <c r="K10" i="3"/>
  <c r="K9" i="3"/>
  <c r="K8" i="3"/>
  <c r="I10" i="3"/>
  <c r="I9" i="3"/>
  <c r="I8" i="3"/>
  <c r="J10" i="3"/>
  <c r="H10" i="3"/>
  <c r="G10" i="3"/>
  <c r="J9" i="3"/>
  <c r="H9" i="3"/>
  <c r="G9" i="3"/>
  <c r="J8" i="3"/>
  <c r="H8" i="3"/>
  <c r="G8" i="3"/>
  <c r="F10" i="3"/>
  <c r="F9" i="3"/>
  <c r="F8" i="3"/>
  <c r="F37" i="30" l="1"/>
  <c r="F39" i="30" s="1"/>
  <c r="F44" i="29"/>
  <c r="F42" i="30" l="1"/>
  <c r="A37" i="28"/>
  <c r="A34" i="28"/>
  <c r="A35" i="28" s="1"/>
  <c r="F38" i="28"/>
  <c r="F24" i="28"/>
  <c r="A37" i="25"/>
  <c r="A38" i="25" s="1"/>
  <c r="A39" i="26"/>
  <c r="A40" i="26" s="1"/>
  <c r="A33" i="26"/>
  <c r="A34" i="26" s="1"/>
  <c r="F36" i="26"/>
  <c r="F23" i="26"/>
  <c r="A32" i="25"/>
  <c r="A33" i="25" s="1"/>
  <c r="F22" i="25"/>
  <c r="F51" i="25" l="1"/>
  <c r="F50" i="25"/>
  <c r="F49" i="25"/>
  <c r="F35" i="25"/>
  <c r="F34" i="25" s="1"/>
  <c r="F51" i="26"/>
  <c r="F53" i="26"/>
  <c r="F52" i="26"/>
  <c r="F38" i="25"/>
  <c r="F37" i="25"/>
  <c r="F37" i="28"/>
  <c r="F36" i="28" s="1"/>
  <c r="F35" i="28"/>
  <c r="F34" i="28"/>
  <c r="F27" i="28"/>
  <c r="F40" i="26"/>
  <c r="F39" i="26"/>
  <c r="F38" i="26" s="1"/>
  <c r="F26" i="26"/>
  <c r="F33" i="26"/>
  <c r="F34" i="26"/>
  <c r="F37" i="26"/>
  <c r="F35" i="26" s="1"/>
  <c r="F33" i="25"/>
  <c r="F32" i="25"/>
  <c r="F52" i="25" l="1"/>
  <c r="F54" i="25" s="1"/>
  <c r="F55" i="25" s="1"/>
  <c r="F54" i="26"/>
  <c r="F56" i="26" s="1"/>
  <c r="F57" i="26" s="1"/>
  <c r="F31" i="25"/>
  <c r="F33" i="28"/>
  <c r="F29" i="28"/>
  <c r="F36" i="25"/>
  <c r="F28" i="26"/>
  <c r="F32" i="26"/>
  <c r="F41" i="26" s="1"/>
  <c r="F25" i="25"/>
  <c r="F27" i="25" s="1"/>
  <c r="F35" i="5"/>
  <c r="F26" i="14"/>
  <c r="F25" i="14" s="1"/>
  <c r="F39" i="28" l="1"/>
  <c r="F41" i="28" s="1"/>
  <c r="F39" i="25"/>
  <c r="F41" i="25" s="1"/>
  <c r="F43" i="26"/>
  <c r="A7" i="3"/>
  <c r="A9" i="3" s="1"/>
  <c r="A10" i="3" s="1"/>
  <c r="A11" i="3" s="1"/>
  <c r="F44" i="28" l="1"/>
  <c r="F44" i="25"/>
  <c r="F46" i="26"/>
  <c r="A8" i="3"/>
  <c r="F24" i="14" l="1"/>
  <c r="F23" i="14"/>
  <c r="A23" i="14"/>
  <c r="A24" i="14" s="1"/>
  <c r="F13" i="14"/>
  <c r="F15" i="14" s="1"/>
  <c r="F22" i="14" l="1"/>
  <c r="F27" i="14" s="1"/>
  <c r="F16" i="14"/>
  <c r="F18" i="14" s="1"/>
  <c r="F34" i="5"/>
  <c r="F33" i="5" s="1"/>
  <c r="F32" i="5"/>
  <c r="F31" i="5"/>
  <c r="F29" i="14" l="1"/>
  <c r="F32" i="14" l="1"/>
  <c r="A34" i="5" l="1"/>
  <c r="A31" i="5"/>
  <c r="A32" i="5" s="1"/>
  <c r="A22" i="3"/>
  <c r="A23" i="3" s="1"/>
  <c r="A24" i="3" s="1"/>
  <c r="A25" i="3" s="1"/>
  <c r="A26" i="3" s="1"/>
  <c r="A19" i="3"/>
  <c r="A20" i="3" s="1"/>
  <c r="A13" i="3"/>
  <c r="A15" i="3" l="1"/>
  <c r="A16" i="3" s="1"/>
  <c r="A17" i="3" s="1"/>
  <c r="A14" i="3"/>
  <c r="F30" i="5"/>
  <c r="F36" i="5" s="1"/>
  <c r="F21" i="5" l="1"/>
  <c r="F24" i="5" l="1"/>
  <c r="F26" i="5" s="1"/>
  <c r="F38" i="5" l="1"/>
  <c r="F41" i="5" l="1"/>
</calcChain>
</file>

<file path=xl/sharedStrings.xml><?xml version="1.0" encoding="utf-8"?>
<sst xmlns="http://schemas.openxmlformats.org/spreadsheetml/2006/main" count="445" uniqueCount="112">
  <si>
    <t>NPC
(2014 CAD)</t>
  </si>
  <si>
    <t>Task No.</t>
  </si>
  <si>
    <t>Description</t>
  </si>
  <si>
    <t>Unit</t>
  </si>
  <si>
    <t>Quantity</t>
  </si>
  <si>
    <t>Bulk Earthworks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</si>
  <si>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</si>
  <si>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EA</t>
  </si>
  <si>
    <t>Remarks</t>
  </si>
  <si>
    <t>Supply, load, haul, place</t>
  </si>
  <si>
    <t>Channel Armouring</t>
  </si>
  <si>
    <r>
      <t>Riprap - D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= 500 mm dia.</t>
    </r>
  </si>
  <si>
    <t>Mobilization</t>
  </si>
  <si>
    <t>Indirects</t>
  </si>
  <si>
    <t>Subtotal</t>
  </si>
  <si>
    <t>Operational Costs</t>
  </si>
  <si>
    <t>Visual Inspections</t>
  </si>
  <si>
    <t>Frequency
(Years)</t>
  </si>
  <si>
    <t>Monitoring</t>
  </si>
  <si>
    <t>Surveys</t>
  </si>
  <si>
    <t>Maintenance</t>
  </si>
  <si>
    <t>Duration
(Years)</t>
  </si>
  <si>
    <t>Cost
(2014 CAD)</t>
  </si>
  <si>
    <t>Capital Costs</t>
  </si>
  <si>
    <t>Total Estimated Capital Costs</t>
  </si>
  <si>
    <t>Material Quantities</t>
  </si>
  <si>
    <r>
      <t>Riprap - D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= 800 mm dia.</t>
    </r>
  </si>
  <si>
    <t>Major Road Improvements</t>
  </si>
  <si>
    <t>Support Equipment</t>
  </si>
  <si>
    <t>Support Labour</t>
  </si>
  <si>
    <t>Fuel Transportation</t>
  </si>
  <si>
    <t>EPCM</t>
  </si>
  <si>
    <t>Replacement</t>
  </si>
  <si>
    <t>SHEET TITLE:</t>
  </si>
  <si>
    <t>PROJECT NO. AND TITLE:</t>
  </si>
  <si>
    <t>CLIENT:</t>
  </si>
  <si>
    <t>LOCATION:</t>
  </si>
  <si>
    <t>ESTIMATE BASIS:</t>
  </si>
  <si>
    <t>DATE:</t>
  </si>
  <si>
    <t>2014 CDN Dollars (+/- 50% accuracy)</t>
  </si>
  <si>
    <t>LIFECYCLE COST ANALYSIS</t>
  </si>
  <si>
    <t>Equivalent Annual Operational Costs</t>
  </si>
  <si>
    <t>307071-00895 Clinton Creek LCCA</t>
  </si>
  <si>
    <t>Access Road Construction</t>
  </si>
  <si>
    <t>Road embankment widening, 3m</t>
  </si>
  <si>
    <t>Cut to fill existing shoulder. Approx 8M3 / LM.</t>
  </si>
  <si>
    <t>Gravel resurfacing, 100mm thk x 8m wide</t>
  </si>
  <si>
    <t>Drill &amp; blast, crushing, load &amp; haul and place.</t>
  </si>
  <si>
    <t>Clear &amp; grub</t>
  </si>
  <si>
    <t>Medium</t>
  </si>
  <si>
    <t>ha</t>
  </si>
  <si>
    <t>Re-grade road sub-base</t>
  </si>
  <si>
    <t>Av. 150mm dp x 5m wide</t>
  </si>
  <si>
    <t>Bridge construction</t>
  </si>
  <si>
    <t>50', 100 ton capacity</t>
  </si>
  <si>
    <t>Contingency (25%)</t>
  </si>
  <si>
    <t>25% Contingency Incl., Real Discount Rate =</t>
  </si>
  <si>
    <t>Clinton Creek Site, YT</t>
  </si>
  <si>
    <t>Assessment and Abandoned Mines</t>
  </si>
  <si>
    <t>Maintaining Site Access</t>
  </si>
  <si>
    <t>-</t>
  </si>
  <si>
    <t>Status Quo - Leave As Is</t>
  </si>
  <si>
    <t>Wolverine Creek Option A LCCA</t>
  </si>
  <si>
    <t>Wolverine Creek Option B LCCA</t>
  </si>
  <si>
    <t>Rock Drain</t>
  </si>
  <si>
    <t>Water Management</t>
  </si>
  <si>
    <t>Asbestos Control</t>
  </si>
  <si>
    <t>Wolverine Creek Option C LCCA</t>
  </si>
  <si>
    <t>Cover over Tailings Pile Base</t>
  </si>
  <si>
    <t>Channel Stabilization</t>
  </si>
  <si>
    <t>Wolverine Creek Option D LCCA</t>
  </si>
  <si>
    <t>Tailings Stabilization</t>
  </si>
  <si>
    <t>Cover over Tailings</t>
  </si>
  <si>
    <t>Wolverine Creek Option E LCCA</t>
  </si>
  <si>
    <t>WC-A</t>
  </si>
  <si>
    <t>WC-B</t>
  </si>
  <si>
    <t>WC-C</t>
  </si>
  <si>
    <t>WC-D</t>
  </si>
  <si>
    <t>WC-E</t>
  </si>
  <si>
    <t>Tailings Excavation to Wolverine Creek</t>
  </si>
  <si>
    <t>Tailings Regrading (Dozer)</t>
  </si>
  <si>
    <t>Tailings Excavation to Mill Area</t>
  </si>
  <si>
    <t>Tailings Excavation and Replacement</t>
  </si>
  <si>
    <t>Waste Rock Fill (From Clinton Creek)</t>
  </si>
  <si>
    <t>Blast rock - 100 to 500 mm dia. (end dumped)</t>
  </si>
  <si>
    <t>Channel Profiling (Excavation)</t>
  </si>
  <si>
    <t>Cobbles - 25 to 100 mm dia.</t>
  </si>
  <si>
    <t>Granular Filter (Crushed Rock)</t>
  </si>
  <si>
    <t>WC-D2</t>
  </si>
  <si>
    <t>WC-E2</t>
  </si>
  <si>
    <t>Wolverine Creek Option D2 LCCA</t>
  </si>
  <si>
    <t>Wolverine Creek Option E2 LCCA</t>
  </si>
  <si>
    <t>Clear Vegetation from Existing Rock-Lined Channel</t>
  </si>
  <si>
    <t>Grade Access Road (15 km)</t>
  </si>
  <si>
    <t>Equivalent Annual Cost</t>
  </si>
  <si>
    <t xml:space="preserve">Note: This is not considered a walk-away solution. Site access would need to be maintained in order to complete regular monitoring, maintenance and replacement. </t>
  </si>
  <si>
    <t xml:space="preserve">Note: This is considered a walk-away solution. Therefore site access would not need to be maintained. </t>
  </si>
  <si>
    <t xml:space="preserve">Note: While this is not entirely a walk-away solution, very little regular maintenance would be required for this option. Therefore site access would not need to be maintained. </t>
  </si>
  <si>
    <t>Grade Access Road (16.2 km)</t>
  </si>
  <si>
    <t>REVISION:</t>
  </si>
  <si>
    <t>Wolverine Creek Options</t>
  </si>
  <si>
    <t>Excavate Rock Drain Sediment (at Inlet)
(Cost Breakdown in Appendix 3)</t>
  </si>
  <si>
    <t>Replace 200m of 0.1% Channel (North Lobe)
(Cost Breakdown in Appendix 3)</t>
  </si>
  <si>
    <t>Replace 200m of 0.1% Channel (South Lobe)
(Cost Breakdown in Appendix 3)</t>
  </si>
  <si>
    <t>Site Access Road Resurfacing (16.2 km)
(Cost Breakdown in Appendix 3)</t>
  </si>
  <si>
    <t>15 m Long Bridge Replacement
(Cost Breakdown in Appendix 3)</t>
  </si>
  <si>
    <t>Note: Cost Breakdown in Appendix 3, Option WC-B</t>
  </si>
  <si>
    <t>Note: Cost Breakdown in Appendix 3, Option WC-C</t>
  </si>
  <si>
    <t>Note: Cost Breakdown in Appendix 3, Option WC-D</t>
  </si>
  <si>
    <t>Note: Cost Breakdown in Appendix 3, Option WC-D2</t>
  </si>
  <si>
    <t>Note: Cost Breakdown in Appendix 3, Option WC-E</t>
  </si>
  <si>
    <t>Note: Cost Breakdown in Appendix 3, Option WC-E2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</si>
</sst>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0.0%"/>
    <numFmt numFmtId="165" formatCode="0.0"/>
    <numFmt numFmtId="166" formatCode="_-&quot;$&quot;* #,##0_-;\-&quot;$&quot;* #,##0_-;_-&quot;$&quot;* &quot;-&quot;??_-;_-@_-"/>
    <numFmt numFmtId="167" formatCode="_-&quot;$&quot;* #,##0.00_-&quot;M&quot;;\-&quot;$&quot;* #,##0.00_-&quot;M&quot;;_-&quot;$&quot;* &quot;-&quot;??_-;_-@_-"/>
    <numFmt numFmtId="168" formatCode="[$-1009]mmmm\ d\,\ yyyy;@"/>
    <numFmt numFmtId="169" formatCode="_-&quot;$&quot;* #,##0.00_-&quot;M/yr&quot;;\-&quot;$&quot;* #,##0.00_-&quot;M/yr&quot;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165" fontId="0" fillId="0" borderId="8" xfId="0" quotePrefix="1" applyNumberForma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0" fontId="5" fillId="0" borderId="8" xfId="0" applyFont="1" applyBorder="1" applyAlignment="1">
      <alignment vertical="center"/>
    </xf>
    <xf numFmtId="165" fontId="0" fillId="0" borderId="5" xfId="0" quotePrefix="1" applyNumberForma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165" fontId="0" fillId="0" borderId="0" xfId="0" quotePrefix="1" applyNumberFormat="1" applyBorder="1" applyAlignment="1">
      <alignment horizontal="left" vertical="center" indent="1"/>
    </xf>
    <xf numFmtId="165" fontId="2" fillId="0" borderId="0" xfId="0" quotePrefix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44" fontId="8" fillId="0" borderId="0" xfId="0" applyNumberFormat="1" applyFont="1" applyAlignment="1">
      <alignment vertical="center"/>
    </xf>
    <xf numFmtId="165" fontId="12" fillId="0" borderId="8" xfId="0" quotePrefix="1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167" fontId="12" fillId="0" borderId="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4" fontId="12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7" fontId="12" fillId="0" borderId="4" xfId="1" applyNumberFormat="1" applyFont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4" fontId="12" fillId="0" borderId="0" xfId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left" vertical="center" indent="1"/>
    </xf>
    <xf numFmtId="166" fontId="13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67" fontId="13" fillId="0" borderId="9" xfId="1" applyNumberFormat="1" applyFont="1" applyBorder="1" applyAlignment="1">
      <alignment vertical="center"/>
    </xf>
    <xf numFmtId="166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right" vertical="center"/>
    </xf>
    <xf numFmtId="164" fontId="16" fillId="3" borderId="11" xfId="0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167" fontId="14" fillId="3" borderId="11" xfId="1" applyNumberFormat="1" applyFont="1" applyFill="1" applyBorder="1" applyAlignment="1">
      <alignment vertical="center"/>
    </xf>
    <xf numFmtId="0" fontId="18" fillId="0" borderId="0" xfId="2" applyFont="1"/>
    <xf numFmtId="0" fontId="17" fillId="0" borderId="0" xfId="2" applyFont="1"/>
    <xf numFmtId="0" fontId="17" fillId="0" borderId="0" xfId="0" applyFont="1"/>
    <xf numFmtId="0" fontId="17" fillId="0" borderId="0" xfId="2" applyFont="1" applyBorder="1"/>
    <xf numFmtId="0" fontId="19" fillId="2" borderId="10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167" fontId="19" fillId="2" borderId="11" xfId="1" applyNumberFormat="1" applyFont="1" applyFill="1" applyBorder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169" fontId="19" fillId="2" borderId="11" xfId="1" applyNumberFormat="1" applyFont="1" applyFill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21" fillId="3" borderId="7" xfId="0" applyFont="1" applyFill="1" applyBorder="1" applyAlignment="1">
      <alignment horizontal="center" vertical="center"/>
    </xf>
    <xf numFmtId="165" fontId="2" fillId="2" borderId="10" xfId="0" quotePrefix="1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44" fontId="10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166" fontId="12" fillId="0" borderId="0" xfId="1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166" fontId="12" fillId="0" borderId="6" xfId="1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center" vertical="center"/>
    </xf>
    <xf numFmtId="168" fontId="17" fillId="0" borderId="0" xfId="2" applyNumberFormat="1" applyFont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5179" cy="522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1496786</xdr:colOff>
      <xdr:row>2</xdr:row>
      <xdr:rowOff>168300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261" cy="5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="70" zoomScaleNormal="70" workbookViewId="0">
      <selection activeCell="E20" sqref="E20"/>
    </sheetView>
  </sheetViews>
  <sheetFormatPr defaultRowHeight="15" x14ac:dyDescent="0.25"/>
  <cols>
    <col min="1" max="1" width="9.140625" style="1" customWidth="1"/>
    <col min="2" max="2" width="41.5703125" style="1" customWidth="1"/>
    <col min="3" max="3" width="26.42578125" style="1" customWidth="1"/>
    <col min="4" max="4" width="13.42578125" style="2" customWidth="1"/>
    <col min="5" max="11" width="13" style="1" customWidth="1"/>
    <col min="12" max="16384" width="9.140625" style="1"/>
  </cols>
  <sheetData>
    <row r="1" spans="1:12" ht="21" x14ac:dyDescent="0.25">
      <c r="A1" s="21" t="s">
        <v>100</v>
      </c>
    </row>
    <row r="3" spans="1:12" ht="18.75" x14ac:dyDescent="0.25">
      <c r="A3" s="5" t="s">
        <v>25</v>
      </c>
    </row>
    <row r="4" spans="1:12" s="4" customFormat="1" ht="15" customHeight="1" x14ac:dyDescent="0.25">
      <c r="A4" s="105" t="s">
        <v>1</v>
      </c>
      <c r="B4" s="107" t="s">
        <v>2</v>
      </c>
      <c r="C4" s="107" t="s">
        <v>8</v>
      </c>
      <c r="D4" s="103" t="s">
        <v>3</v>
      </c>
      <c r="E4" s="103" t="s">
        <v>4</v>
      </c>
      <c r="F4" s="103"/>
      <c r="G4" s="103"/>
      <c r="H4" s="103"/>
      <c r="I4" s="103"/>
      <c r="J4" s="103"/>
      <c r="K4" s="104"/>
      <c r="L4" s="19"/>
    </row>
    <row r="5" spans="1:12" s="4" customFormat="1" ht="18.75" x14ac:dyDescent="0.25">
      <c r="A5" s="106"/>
      <c r="B5" s="108"/>
      <c r="C5" s="108"/>
      <c r="D5" s="109"/>
      <c r="E5" s="99" t="s">
        <v>74</v>
      </c>
      <c r="F5" s="99" t="s">
        <v>75</v>
      </c>
      <c r="G5" s="99" t="s">
        <v>76</v>
      </c>
      <c r="H5" s="99" t="s">
        <v>77</v>
      </c>
      <c r="I5" s="99" t="s">
        <v>88</v>
      </c>
      <c r="J5" s="99" t="s">
        <v>78</v>
      </c>
      <c r="K5" s="83" t="s">
        <v>89</v>
      </c>
      <c r="L5" s="19"/>
    </row>
    <row r="6" spans="1:12" s="3" customFormat="1" x14ac:dyDescent="0.25">
      <c r="A6" s="84">
        <v>1</v>
      </c>
      <c r="B6" s="85" t="s">
        <v>27</v>
      </c>
      <c r="C6" s="85"/>
      <c r="D6" s="86"/>
      <c r="E6" s="87"/>
      <c r="F6" s="87"/>
      <c r="G6" s="87"/>
      <c r="H6" s="87"/>
      <c r="I6" s="87"/>
      <c r="J6" s="87"/>
      <c r="K6" s="92"/>
      <c r="L6" s="15"/>
    </row>
    <row r="7" spans="1:12" x14ac:dyDescent="0.25">
      <c r="A7" s="9">
        <f>A6+0.1</f>
        <v>1.1000000000000001</v>
      </c>
      <c r="B7" s="10" t="s">
        <v>48</v>
      </c>
      <c r="C7" s="10" t="s">
        <v>49</v>
      </c>
      <c r="D7" s="11" t="s">
        <v>50</v>
      </c>
      <c r="E7" s="88"/>
      <c r="F7" s="88">
        <v>1</v>
      </c>
      <c r="G7" s="88">
        <v>1</v>
      </c>
      <c r="H7" s="88">
        <v>1</v>
      </c>
      <c r="I7" s="88">
        <v>1</v>
      </c>
      <c r="J7" s="88">
        <v>1</v>
      </c>
      <c r="K7" s="89">
        <v>1</v>
      </c>
      <c r="L7" s="14"/>
    </row>
    <row r="8" spans="1:12" ht="17.25" x14ac:dyDescent="0.25">
      <c r="A8" s="9">
        <f>A7+0.1</f>
        <v>1.2000000000000002</v>
      </c>
      <c r="B8" s="10" t="s">
        <v>44</v>
      </c>
      <c r="C8" s="10" t="s">
        <v>45</v>
      </c>
      <c r="D8" s="11" t="s">
        <v>6</v>
      </c>
      <c r="E8" s="88"/>
      <c r="F8" s="88">
        <f>4*2*1200</f>
        <v>9600</v>
      </c>
      <c r="G8" s="88">
        <f t="shared" ref="G8:K8" si="0">4*2*1200</f>
        <v>9600</v>
      </c>
      <c r="H8" s="88">
        <f t="shared" si="0"/>
        <v>9600</v>
      </c>
      <c r="I8" s="88">
        <f t="shared" si="0"/>
        <v>9600</v>
      </c>
      <c r="J8" s="88">
        <f t="shared" si="0"/>
        <v>9600</v>
      </c>
      <c r="K8" s="89">
        <f t="shared" si="0"/>
        <v>9600</v>
      </c>
      <c r="L8" s="14"/>
    </row>
    <row r="9" spans="1:12" ht="17.25" x14ac:dyDescent="0.25">
      <c r="A9" s="9">
        <f>A7+0.1</f>
        <v>1.2000000000000002</v>
      </c>
      <c r="B9" s="10" t="s">
        <v>51</v>
      </c>
      <c r="C9" s="10" t="s">
        <v>52</v>
      </c>
      <c r="D9" s="11" t="s">
        <v>6</v>
      </c>
      <c r="E9" s="88"/>
      <c r="F9" s="88">
        <f>5*1200*0.15</f>
        <v>900</v>
      </c>
      <c r="G9" s="88">
        <f t="shared" ref="G9:K9" si="1">5*1200*0.15</f>
        <v>900</v>
      </c>
      <c r="H9" s="88">
        <f t="shared" si="1"/>
        <v>900</v>
      </c>
      <c r="I9" s="88">
        <f t="shared" si="1"/>
        <v>900</v>
      </c>
      <c r="J9" s="88">
        <f t="shared" si="1"/>
        <v>900</v>
      </c>
      <c r="K9" s="89">
        <f t="shared" si="1"/>
        <v>900</v>
      </c>
      <c r="L9" s="14"/>
    </row>
    <row r="10" spans="1:12" ht="17.25" x14ac:dyDescent="0.25">
      <c r="A10" s="9">
        <f>A9+0.1</f>
        <v>1.3000000000000003</v>
      </c>
      <c r="B10" s="10" t="s">
        <v>46</v>
      </c>
      <c r="C10" s="10" t="s">
        <v>47</v>
      </c>
      <c r="D10" s="11" t="s">
        <v>6</v>
      </c>
      <c r="E10" s="88"/>
      <c r="F10" s="88">
        <f>8*1200*0.1</f>
        <v>960</v>
      </c>
      <c r="G10" s="88">
        <f t="shared" ref="G10:K10" si="2">8*1200*0.1</f>
        <v>960</v>
      </c>
      <c r="H10" s="88">
        <f t="shared" si="2"/>
        <v>960</v>
      </c>
      <c r="I10" s="88">
        <f t="shared" si="2"/>
        <v>960</v>
      </c>
      <c r="J10" s="88">
        <f t="shared" si="2"/>
        <v>960</v>
      </c>
      <c r="K10" s="89">
        <f t="shared" si="2"/>
        <v>960</v>
      </c>
      <c r="L10" s="14"/>
    </row>
    <row r="11" spans="1:12" ht="17.25" x14ac:dyDescent="0.25">
      <c r="A11" s="9">
        <f>A10+0.1</f>
        <v>1.4000000000000004</v>
      </c>
      <c r="B11" s="16" t="s">
        <v>53</v>
      </c>
      <c r="C11" s="16" t="s">
        <v>54</v>
      </c>
      <c r="D11" s="17" t="s">
        <v>6</v>
      </c>
      <c r="E11" s="88"/>
      <c r="F11" s="88">
        <v>1</v>
      </c>
      <c r="G11" s="88">
        <v>1</v>
      </c>
      <c r="H11" s="88">
        <v>1</v>
      </c>
      <c r="I11" s="88">
        <v>1</v>
      </c>
      <c r="J11" s="88">
        <v>1</v>
      </c>
      <c r="K11" s="89">
        <v>1</v>
      </c>
      <c r="L11" s="14"/>
    </row>
    <row r="12" spans="1:12" s="3" customFormat="1" x14ac:dyDescent="0.25">
      <c r="A12" s="84">
        <v>2</v>
      </c>
      <c r="B12" s="85" t="s">
        <v>5</v>
      </c>
      <c r="C12" s="85"/>
      <c r="D12" s="86"/>
      <c r="E12" s="87"/>
      <c r="F12" s="87"/>
      <c r="G12" s="87"/>
      <c r="H12" s="87"/>
      <c r="I12" s="87"/>
      <c r="J12" s="87"/>
      <c r="K12" s="92"/>
      <c r="L12" s="15"/>
    </row>
    <row r="13" spans="1:12" ht="17.25" x14ac:dyDescent="0.25">
      <c r="A13" s="9">
        <f>A12+0.1</f>
        <v>2.1</v>
      </c>
      <c r="B13" s="10" t="s">
        <v>79</v>
      </c>
      <c r="C13" s="10"/>
      <c r="D13" s="11" t="s">
        <v>6</v>
      </c>
      <c r="E13" s="88"/>
      <c r="F13" s="88"/>
      <c r="G13" s="88"/>
      <c r="H13" s="88"/>
      <c r="I13" s="88"/>
      <c r="J13" s="88"/>
      <c r="K13" s="89"/>
      <c r="L13" s="14"/>
    </row>
    <row r="14" spans="1:12" ht="17.25" x14ac:dyDescent="0.25">
      <c r="A14" s="9">
        <f>A13+0.1</f>
        <v>2.2000000000000002</v>
      </c>
      <c r="B14" s="10" t="s">
        <v>80</v>
      </c>
      <c r="C14" s="10"/>
      <c r="D14" s="11" t="s">
        <v>6</v>
      </c>
      <c r="E14" s="88"/>
      <c r="F14" s="88"/>
      <c r="G14" s="88"/>
      <c r="H14" s="88"/>
      <c r="I14" s="88"/>
      <c r="J14" s="88">
        <v>3000000</v>
      </c>
      <c r="K14" s="89">
        <v>3500000</v>
      </c>
      <c r="L14" s="14"/>
    </row>
    <row r="15" spans="1:12" ht="17.25" x14ac:dyDescent="0.25">
      <c r="A15" s="9">
        <f>A13+0.1</f>
        <v>2.2000000000000002</v>
      </c>
      <c r="B15" s="10" t="s">
        <v>81</v>
      </c>
      <c r="C15" s="10"/>
      <c r="D15" s="11" t="s">
        <v>6</v>
      </c>
      <c r="E15" s="88"/>
      <c r="F15" s="88"/>
      <c r="G15" s="88"/>
      <c r="H15" s="88"/>
      <c r="I15" s="88"/>
      <c r="J15" s="88"/>
      <c r="K15" s="89"/>
      <c r="L15" s="14"/>
    </row>
    <row r="16" spans="1:12" ht="17.25" x14ac:dyDescent="0.25">
      <c r="A16" s="9">
        <f>A15+0.1</f>
        <v>2.3000000000000003</v>
      </c>
      <c r="B16" s="10" t="s">
        <v>82</v>
      </c>
      <c r="C16" s="10"/>
      <c r="D16" s="11" t="s">
        <v>6</v>
      </c>
      <c r="E16" s="88"/>
      <c r="F16" s="88">
        <v>200000</v>
      </c>
      <c r="G16" s="88"/>
      <c r="H16" s="88">
        <v>200000</v>
      </c>
      <c r="I16" s="88"/>
      <c r="J16" s="88">
        <v>200000</v>
      </c>
      <c r="K16" s="89"/>
      <c r="L16" s="14"/>
    </row>
    <row r="17" spans="1:12" ht="17.25" x14ac:dyDescent="0.25">
      <c r="A17" s="9">
        <f>A16+0.1</f>
        <v>2.4000000000000004</v>
      </c>
      <c r="B17" s="10" t="s">
        <v>83</v>
      </c>
      <c r="C17" s="10"/>
      <c r="D17" s="11" t="s">
        <v>6</v>
      </c>
      <c r="E17" s="88"/>
      <c r="F17" s="88"/>
      <c r="G17" s="88">
        <v>700000</v>
      </c>
      <c r="H17" s="88">
        <v>700000</v>
      </c>
      <c r="I17" s="88">
        <v>340000</v>
      </c>
      <c r="J17" s="88">
        <v>500000</v>
      </c>
      <c r="K17" s="89">
        <v>600000</v>
      </c>
      <c r="L17" s="14"/>
    </row>
    <row r="18" spans="1:12" s="3" customFormat="1" x14ac:dyDescent="0.25">
      <c r="A18" s="84">
        <v>3</v>
      </c>
      <c r="B18" s="85" t="s">
        <v>64</v>
      </c>
      <c r="C18" s="85"/>
      <c r="D18" s="86"/>
      <c r="E18" s="87"/>
      <c r="F18" s="87"/>
      <c r="G18" s="87"/>
      <c r="H18" s="87"/>
      <c r="I18" s="87"/>
      <c r="J18" s="87"/>
      <c r="K18" s="92"/>
      <c r="L18" s="15"/>
    </row>
    <row r="19" spans="1:12" x14ac:dyDescent="0.25">
      <c r="A19" s="9">
        <f>A18+0.1</f>
        <v>3.1</v>
      </c>
      <c r="B19" s="10" t="s">
        <v>84</v>
      </c>
      <c r="C19" s="10" t="s">
        <v>9</v>
      </c>
      <c r="D19" s="11" t="s">
        <v>7</v>
      </c>
      <c r="E19" s="12"/>
      <c r="F19" s="12">
        <v>31000</v>
      </c>
      <c r="G19" s="88"/>
      <c r="H19" s="88">
        <v>31000</v>
      </c>
      <c r="I19" s="88"/>
      <c r="J19" s="88">
        <v>31000</v>
      </c>
      <c r="K19" s="89"/>
      <c r="L19" s="14"/>
    </row>
    <row r="20" spans="1:12" ht="17.25" x14ac:dyDescent="0.25">
      <c r="A20" s="9">
        <f>A19+0.1</f>
        <v>3.2</v>
      </c>
      <c r="B20" s="10" t="s">
        <v>87</v>
      </c>
      <c r="C20" s="10" t="s">
        <v>9</v>
      </c>
      <c r="D20" s="11" t="s">
        <v>6</v>
      </c>
      <c r="E20" s="12"/>
      <c r="F20" s="12">
        <v>13000</v>
      </c>
      <c r="G20" s="88"/>
      <c r="H20" s="88">
        <v>13000</v>
      </c>
      <c r="I20" s="88"/>
      <c r="J20" s="88">
        <v>13000</v>
      </c>
      <c r="K20" s="89"/>
      <c r="L20" s="14"/>
    </row>
    <row r="21" spans="1:12" s="3" customFormat="1" x14ac:dyDescent="0.25">
      <c r="A21" s="84">
        <v>4</v>
      </c>
      <c r="B21" s="85" t="s">
        <v>10</v>
      </c>
      <c r="C21" s="85"/>
      <c r="D21" s="86"/>
      <c r="E21" s="87"/>
      <c r="F21" s="87"/>
      <c r="G21" s="87"/>
      <c r="H21" s="87"/>
      <c r="I21" s="87"/>
      <c r="J21" s="87"/>
      <c r="K21" s="92"/>
      <c r="L21" s="15"/>
    </row>
    <row r="22" spans="1:12" ht="17.25" x14ac:dyDescent="0.25">
      <c r="A22" s="9">
        <f t="shared" ref="A22:A26" si="3">A21+0.1</f>
        <v>4.0999999999999996</v>
      </c>
      <c r="B22" s="10" t="s">
        <v>85</v>
      </c>
      <c r="C22" s="10" t="s">
        <v>9</v>
      </c>
      <c r="D22" s="11" t="s">
        <v>6</v>
      </c>
      <c r="E22" s="12"/>
      <c r="F22" s="12"/>
      <c r="G22" s="88">
        <v>20250</v>
      </c>
      <c r="H22" s="88">
        <v>20250</v>
      </c>
      <c r="I22" s="88">
        <v>20250</v>
      </c>
      <c r="J22" s="88">
        <v>20250</v>
      </c>
      <c r="K22" s="89">
        <v>20250</v>
      </c>
      <c r="L22" s="14"/>
    </row>
    <row r="23" spans="1:12" ht="17.25" x14ac:dyDescent="0.25">
      <c r="A23" s="9">
        <f t="shared" si="3"/>
        <v>4.1999999999999993</v>
      </c>
      <c r="B23" s="10" t="s">
        <v>86</v>
      </c>
      <c r="C23" s="10" t="s">
        <v>9</v>
      </c>
      <c r="D23" s="11" t="s">
        <v>6</v>
      </c>
      <c r="E23" s="12"/>
      <c r="F23" s="12"/>
      <c r="G23" s="88">
        <v>2500</v>
      </c>
      <c r="H23" s="88">
        <v>2500</v>
      </c>
      <c r="I23" s="88">
        <v>2500</v>
      </c>
      <c r="J23" s="88">
        <v>2500</v>
      </c>
      <c r="K23" s="89">
        <v>2500</v>
      </c>
      <c r="L23" s="14"/>
    </row>
    <row r="24" spans="1:12" ht="18" x14ac:dyDescent="0.25">
      <c r="A24" s="9">
        <f t="shared" si="3"/>
        <v>4.2999999999999989</v>
      </c>
      <c r="B24" s="10" t="s">
        <v>11</v>
      </c>
      <c r="C24" s="10" t="s">
        <v>9</v>
      </c>
      <c r="D24" s="11" t="s">
        <v>6</v>
      </c>
      <c r="E24" s="12"/>
      <c r="F24" s="12"/>
      <c r="G24" s="88"/>
      <c r="H24" s="88"/>
      <c r="I24" s="88"/>
      <c r="J24" s="88"/>
      <c r="K24" s="89"/>
      <c r="L24" s="14"/>
    </row>
    <row r="25" spans="1:12" ht="18" x14ac:dyDescent="0.25">
      <c r="A25" s="9">
        <f t="shared" si="3"/>
        <v>4.3999999999999986</v>
      </c>
      <c r="B25" s="10" t="s">
        <v>26</v>
      </c>
      <c r="C25" s="10" t="s">
        <v>9</v>
      </c>
      <c r="D25" s="11" t="s">
        <v>6</v>
      </c>
      <c r="E25" s="12"/>
      <c r="F25" s="12"/>
      <c r="G25" s="12">
        <f>ROUNDUP(180*16,-2)</f>
        <v>2900</v>
      </c>
      <c r="H25" s="12">
        <f>ROUNDUP(180*16,-2)</f>
        <v>2900</v>
      </c>
      <c r="I25" s="88">
        <f>ROUNDUP(150*16,-2)</f>
        <v>2400</v>
      </c>
      <c r="J25" s="12">
        <f>ROUNDUP(180*16,-2)</f>
        <v>2900</v>
      </c>
      <c r="K25" s="101">
        <f>ROUNDUP(180*16,-2)</f>
        <v>2900</v>
      </c>
      <c r="L25" s="14"/>
    </row>
    <row r="26" spans="1:12" ht="17.25" x14ac:dyDescent="0.25">
      <c r="A26" s="20">
        <f t="shared" si="3"/>
        <v>4.4999999999999982</v>
      </c>
      <c r="B26" s="16" t="s">
        <v>87</v>
      </c>
      <c r="C26" s="16" t="s">
        <v>9</v>
      </c>
      <c r="D26" s="17" t="s">
        <v>6</v>
      </c>
      <c r="E26" s="18"/>
      <c r="F26" s="18"/>
      <c r="G26" s="18">
        <f>ROUNDUP(180*13,-2)</f>
        <v>2400</v>
      </c>
      <c r="H26" s="18">
        <f>ROUNDUP(180*13,-2)</f>
        <v>2400</v>
      </c>
      <c r="I26" s="100">
        <f>ROUNDUP(150*13,-2)</f>
        <v>2000</v>
      </c>
      <c r="J26" s="18">
        <f>ROUNDUP(180*13,-2)</f>
        <v>2400</v>
      </c>
      <c r="K26" s="102">
        <f>ROUNDUP(180*13,-2)</f>
        <v>2400</v>
      </c>
      <c r="L26" s="14"/>
    </row>
    <row r="27" spans="1:12" x14ac:dyDescent="0.25">
      <c r="A27" s="22"/>
      <c r="B27" s="10"/>
      <c r="C27" s="13"/>
      <c r="D27" s="11"/>
      <c r="E27" s="12"/>
      <c r="F27" s="12"/>
      <c r="G27" s="12"/>
      <c r="H27" s="12"/>
      <c r="I27" s="12"/>
      <c r="J27" s="12"/>
      <c r="K27" s="12"/>
    </row>
    <row r="28" spans="1:12" s="3" customFormat="1" x14ac:dyDescent="0.25">
      <c r="A28" s="23"/>
      <c r="B28" s="6"/>
      <c r="C28" s="6"/>
      <c r="D28" s="7"/>
      <c r="E28" s="8"/>
      <c r="F28" s="8"/>
      <c r="G28" s="8"/>
      <c r="H28" s="8"/>
      <c r="I28" s="8"/>
      <c r="J28" s="8"/>
      <c r="K28" s="8"/>
    </row>
  </sheetData>
  <mergeCells count="5">
    <mergeCell ref="E4:K4"/>
    <mergeCell ref="A4:A5"/>
    <mergeCell ref="B4:B5"/>
    <mergeCell ref="C4:C5"/>
    <mergeCell ref="D4:D5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85" zoomScaleNormal="85" workbookViewId="0">
      <selection activeCell="F31" sqref="F31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6384" width="9.140625" style="24"/>
  </cols>
  <sheetData>
    <row r="1" spans="1:7" x14ac:dyDescent="0.2">
      <c r="C1" s="69" t="s">
        <v>33</v>
      </c>
      <c r="D1" s="70"/>
      <c r="E1" s="69" t="s">
        <v>62</v>
      </c>
      <c r="F1" s="71"/>
      <c r="G1" s="70"/>
    </row>
    <row r="2" spans="1:7" x14ac:dyDescent="0.2">
      <c r="C2" s="69" t="s">
        <v>34</v>
      </c>
      <c r="D2" s="70"/>
      <c r="E2" s="72" t="s">
        <v>42</v>
      </c>
      <c r="F2" s="71"/>
      <c r="G2" s="70"/>
    </row>
    <row r="3" spans="1:7" x14ac:dyDescent="0.2">
      <c r="C3" s="69" t="s">
        <v>35</v>
      </c>
      <c r="D3" s="70"/>
      <c r="E3" s="72" t="s">
        <v>58</v>
      </c>
      <c r="F3" s="71"/>
      <c r="G3" s="70"/>
    </row>
    <row r="4" spans="1:7" x14ac:dyDescent="0.2">
      <c r="C4" s="69" t="s">
        <v>36</v>
      </c>
      <c r="D4" s="70"/>
      <c r="E4" s="72" t="s">
        <v>57</v>
      </c>
      <c r="F4" s="71"/>
      <c r="G4" s="70"/>
    </row>
    <row r="5" spans="1:7" x14ac:dyDescent="0.2">
      <c r="C5" s="69" t="s">
        <v>37</v>
      </c>
      <c r="D5" s="70"/>
      <c r="E5" s="70" t="s">
        <v>39</v>
      </c>
      <c r="F5" s="71"/>
      <c r="G5" s="70"/>
    </row>
    <row r="6" spans="1:7" x14ac:dyDescent="0.2">
      <c r="C6" s="69" t="s">
        <v>38</v>
      </c>
      <c r="D6" s="70"/>
      <c r="E6" s="110">
        <v>41726</v>
      </c>
      <c r="F6" s="110"/>
      <c r="G6" s="70"/>
    </row>
    <row r="7" spans="1:7" ht="15" x14ac:dyDescent="0.25">
      <c r="C7" s="69" t="s">
        <v>99</v>
      </c>
      <c r="E7" s="113">
        <v>0</v>
      </c>
      <c r="F7" s="113"/>
    </row>
    <row r="8" spans="1:7" ht="18" x14ac:dyDescent="0.25">
      <c r="A8" s="26" t="s">
        <v>40</v>
      </c>
    </row>
    <row r="9" spans="1:7" ht="15.75" x14ac:dyDescent="0.25">
      <c r="A9" s="58" t="s">
        <v>23</v>
      </c>
      <c r="B9" s="59"/>
      <c r="C9" s="64"/>
      <c r="D9" s="59"/>
      <c r="E9" s="59"/>
      <c r="F9" s="65"/>
    </row>
    <row r="10" spans="1:7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</row>
    <row r="11" spans="1:7" s="28" customFormat="1" ht="15" x14ac:dyDescent="0.25">
      <c r="A11" s="31"/>
      <c r="B11" s="32" t="s">
        <v>61</v>
      </c>
      <c r="C11" s="33"/>
      <c r="D11" s="32"/>
      <c r="E11" s="34"/>
      <c r="F11" s="35" t="s">
        <v>60</v>
      </c>
    </row>
    <row r="12" spans="1:7" x14ac:dyDescent="0.25">
      <c r="A12" s="39"/>
      <c r="B12" s="36"/>
      <c r="C12" s="40"/>
      <c r="D12" s="36"/>
      <c r="E12" s="36"/>
      <c r="F12" s="41"/>
    </row>
    <row r="13" spans="1:7" s="27" customFormat="1" ht="15" customHeight="1" x14ac:dyDescent="0.25">
      <c r="A13" s="42" t="s">
        <v>14</v>
      </c>
      <c r="B13" s="43"/>
      <c r="C13" s="44"/>
      <c r="D13" s="43"/>
      <c r="E13" s="43"/>
      <c r="F13" s="45">
        <f>SUBTOTAL(9,F11:F12)</f>
        <v>0</v>
      </c>
      <c r="G13" s="90"/>
    </row>
    <row r="14" spans="1:7" s="27" customFormat="1" ht="15.75" x14ac:dyDescent="0.25">
      <c r="A14" s="39"/>
      <c r="B14" s="36"/>
      <c r="C14" s="40"/>
      <c r="D14" s="36"/>
      <c r="E14" s="36"/>
      <c r="F14" s="41"/>
    </row>
    <row r="15" spans="1:7" s="27" customFormat="1" ht="15.75" x14ac:dyDescent="0.25">
      <c r="A15" s="31"/>
      <c r="B15" s="32" t="s">
        <v>31</v>
      </c>
      <c r="C15" s="33"/>
      <c r="D15" s="33"/>
      <c r="E15" s="34"/>
      <c r="F15" s="35">
        <f>F13*1.25*0.1</f>
        <v>0</v>
      </c>
      <c r="G15" s="90"/>
    </row>
    <row r="16" spans="1:7" s="28" customFormat="1" ht="15" x14ac:dyDescent="0.25">
      <c r="A16" s="31"/>
      <c r="B16" s="32" t="s">
        <v>55</v>
      </c>
      <c r="C16" s="33"/>
      <c r="D16" s="32"/>
      <c r="E16" s="32"/>
      <c r="F16" s="35">
        <f>SUM(F13:F15)*0.25</f>
        <v>0</v>
      </c>
      <c r="G16" s="91"/>
    </row>
    <row r="17" spans="1:9" s="28" customFormat="1" ht="15" x14ac:dyDescent="0.25">
      <c r="A17" s="39"/>
      <c r="B17" s="36"/>
      <c r="C17" s="40"/>
      <c r="D17" s="36"/>
      <c r="E17" s="36"/>
      <c r="F17" s="41"/>
    </row>
    <row r="18" spans="1:9" ht="15" x14ac:dyDescent="0.25">
      <c r="A18" s="73" t="s">
        <v>24</v>
      </c>
      <c r="B18" s="74"/>
      <c r="C18" s="75"/>
      <c r="D18" s="74"/>
      <c r="E18" s="74"/>
      <c r="F18" s="76">
        <f>SUM(F13:F17)</f>
        <v>0</v>
      </c>
    </row>
    <row r="19" spans="1:9" x14ac:dyDescent="0.25">
      <c r="E19" s="29"/>
    </row>
    <row r="20" spans="1:9" ht="15.75" x14ac:dyDescent="0.25">
      <c r="A20" s="58" t="s">
        <v>15</v>
      </c>
      <c r="B20" s="59"/>
      <c r="C20" s="60"/>
      <c r="D20" s="61"/>
      <c r="E20" s="62" t="s">
        <v>56</v>
      </c>
      <c r="F20" s="63">
        <v>2.5000000000000001E-2</v>
      </c>
    </row>
    <row r="21" spans="1:9" s="27" customFormat="1" ht="30" x14ac:dyDescent="0.25">
      <c r="A21" s="46" t="s">
        <v>1</v>
      </c>
      <c r="B21" s="47" t="s">
        <v>2</v>
      </c>
      <c r="C21" s="49" t="s">
        <v>22</v>
      </c>
      <c r="D21" s="49" t="s">
        <v>17</v>
      </c>
      <c r="E21" s="49" t="s">
        <v>21</v>
      </c>
      <c r="F21" s="50" t="s">
        <v>0</v>
      </c>
      <c r="I21" s="28"/>
    </row>
    <row r="22" spans="1:9" s="28" customFormat="1" ht="15" x14ac:dyDescent="0.25">
      <c r="A22" s="31">
        <v>1</v>
      </c>
      <c r="B22" s="32" t="s">
        <v>18</v>
      </c>
      <c r="C22" s="51"/>
      <c r="D22" s="51"/>
      <c r="E22" s="34"/>
      <c r="F22" s="35">
        <f>SUBTOTAL(9,F23:F24)</f>
        <v>1.6340739571739724</v>
      </c>
    </row>
    <row r="23" spans="1:9" x14ac:dyDescent="0.25">
      <c r="A23" s="52">
        <f>A22+0.1</f>
        <v>1.1000000000000001</v>
      </c>
      <c r="B23" s="36" t="s">
        <v>16</v>
      </c>
      <c r="C23" s="53">
        <v>15000</v>
      </c>
      <c r="D23" s="54">
        <v>1</v>
      </c>
      <c r="E23" s="54">
        <v>100</v>
      </c>
      <c r="F23" s="55">
        <f>$C23*((1+$F$20)^$E23-1)/(((1+$F$20)^D23-1)*(1+$F$20)^$E23)/1000000</f>
        <v>0.54921157896718642</v>
      </c>
      <c r="H23" s="30"/>
    </row>
    <row r="24" spans="1:9" x14ac:dyDescent="0.25">
      <c r="A24" s="52">
        <f>A23+0.1</f>
        <v>1.2000000000000002</v>
      </c>
      <c r="B24" s="36" t="s">
        <v>19</v>
      </c>
      <c r="C24" s="53">
        <v>60000</v>
      </c>
      <c r="D24" s="54">
        <v>2</v>
      </c>
      <c r="E24" s="54">
        <v>100</v>
      </c>
      <c r="F24" s="55">
        <f>$C24*((1+$F$20)^$E24-1)/(((1+$F$20)^D24-1)*(1+$F$20)^$E24)/1000000</f>
        <v>1.0848623782067861</v>
      </c>
      <c r="H24" s="30"/>
    </row>
    <row r="25" spans="1:9" s="28" customFormat="1" ht="15" x14ac:dyDescent="0.25">
      <c r="A25" s="31">
        <v>2</v>
      </c>
      <c r="B25" s="32" t="s">
        <v>20</v>
      </c>
      <c r="C25" s="56"/>
      <c r="D25" s="57"/>
      <c r="E25" s="57"/>
      <c r="F25" s="35">
        <f>SUBTOTAL(9,F26)</f>
        <v>6.5362595014900479E-2</v>
      </c>
    </row>
    <row r="26" spans="1:9" ht="25.5" x14ac:dyDescent="0.25">
      <c r="A26" s="52">
        <f>A25+0.1</f>
        <v>2.1</v>
      </c>
      <c r="B26" s="38" t="s">
        <v>92</v>
      </c>
      <c r="C26" s="53">
        <v>20000</v>
      </c>
      <c r="D26" s="54">
        <v>10</v>
      </c>
      <c r="E26" s="54">
        <v>100</v>
      </c>
      <c r="F26" s="55">
        <f>$C26*((1+$F$20)^$E26-1)/(((1+$F$20)^D26-1)*(1+$F$20)^$E26)/1000000</f>
        <v>6.5362595014900479E-2</v>
      </c>
      <c r="G26" s="80"/>
      <c r="H26" s="30"/>
    </row>
    <row r="27" spans="1:9" x14ac:dyDescent="0.25">
      <c r="A27" s="42" t="s">
        <v>14</v>
      </c>
      <c r="B27" s="43"/>
      <c r="C27" s="44"/>
      <c r="D27" s="43"/>
      <c r="E27" s="43"/>
      <c r="F27" s="45">
        <f>SUBTOTAL(9,F22:F26)</f>
        <v>1.6994365521888728</v>
      </c>
      <c r="G27" s="80"/>
      <c r="H27" s="30"/>
    </row>
    <row r="28" spans="1:9" x14ac:dyDescent="0.25">
      <c r="A28" s="39"/>
      <c r="B28" s="36"/>
      <c r="C28" s="40"/>
      <c r="D28" s="36"/>
      <c r="E28" s="36"/>
      <c r="F28" s="41"/>
    </row>
    <row r="29" spans="1:9" s="28" customFormat="1" ht="15" x14ac:dyDescent="0.25">
      <c r="A29" s="73" t="str">
        <f>"Total Estimated Operational Costs (Over " &amp; TEXT(100,"0") &amp; "-Year Period)"</f>
        <v>Total Estimated Operational Costs (Over 100-Year Period)</v>
      </c>
      <c r="B29" s="74"/>
      <c r="C29" s="75"/>
      <c r="D29" s="74"/>
      <c r="E29" s="74"/>
      <c r="F29" s="76">
        <f>SUM(F27:F28)</f>
        <v>1.6994365521888728</v>
      </c>
    </row>
    <row r="30" spans="1:9" s="28" customFormat="1" ht="15" x14ac:dyDescent="0.25">
      <c r="A30" s="73" t="s">
        <v>41</v>
      </c>
      <c r="B30" s="74"/>
      <c r="C30" s="75"/>
      <c r="D30" s="74"/>
      <c r="E30" s="74"/>
      <c r="F30" s="79">
        <f>F29*F20*(1+F20)^100/((1+F20)^100-1)</f>
        <v>4.6414804893172547E-2</v>
      </c>
    </row>
    <row r="32" spans="1:9" s="28" customFormat="1" ht="15.75" x14ac:dyDescent="0.25">
      <c r="A32" s="58" t="str">
        <f>"Total Estimated Lifecycle Costs (Over " &amp; TEXT(100,"0") &amp; "-Year Period)"</f>
        <v>Total Estimated Lifecycle Costs (Over 100-Year Period)</v>
      </c>
      <c r="B32" s="66"/>
      <c r="C32" s="67"/>
      <c r="D32" s="66"/>
      <c r="E32" s="66"/>
      <c r="F32" s="68">
        <f>F18+F29</f>
        <v>1.6994365521888728</v>
      </c>
    </row>
    <row r="33" spans="1:7" x14ac:dyDescent="0.25">
      <c r="A33" s="111" t="s">
        <v>97</v>
      </c>
      <c r="B33" s="111"/>
      <c r="C33" s="111"/>
      <c r="D33" s="111"/>
      <c r="E33" s="111"/>
      <c r="F33" s="111"/>
    </row>
    <row r="34" spans="1:7" s="27" customFormat="1" ht="15.75" x14ac:dyDescent="0.25">
      <c r="A34" s="112"/>
      <c r="B34" s="112"/>
      <c r="C34" s="112"/>
      <c r="D34" s="112"/>
      <c r="E34" s="112"/>
      <c r="F34" s="112"/>
      <c r="G34" s="80"/>
    </row>
    <row r="35" spans="1:7" x14ac:dyDescent="0.25">
      <c r="C35" s="77"/>
    </row>
    <row r="36" spans="1:7" x14ac:dyDescent="0.25">
      <c r="C36" s="77"/>
    </row>
  </sheetData>
  <mergeCells count="3">
    <mergeCell ref="E6:F6"/>
    <mergeCell ref="A33:F34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4"/>
  <sheetViews>
    <sheetView topLeftCell="A7" zoomScale="85" zoomScaleNormal="85" workbookViewId="0">
      <selection activeCell="F40" sqref="F40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1" width="9.140625" style="24"/>
    <col min="12" max="12" width="14" style="24" bestFit="1" customWidth="1"/>
    <col min="13" max="13" width="17.140625" style="24" bestFit="1" customWidth="1"/>
    <col min="14" max="14" width="13.140625" style="24" bestFit="1" customWidth="1"/>
    <col min="15" max="15" width="11.42578125" style="24" bestFit="1" customWidth="1"/>
    <col min="16" max="16384" width="9.140625" style="24"/>
  </cols>
  <sheetData>
    <row r="1" spans="1:13" x14ac:dyDescent="0.2">
      <c r="C1" s="69" t="s">
        <v>33</v>
      </c>
      <c r="D1" s="70"/>
      <c r="E1" s="69" t="s">
        <v>63</v>
      </c>
      <c r="F1" s="71"/>
      <c r="G1" s="70"/>
    </row>
    <row r="2" spans="1:13" x14ac:dyDescent="0.2">
      <c r="C2" s="69" t="s">
        <v>34</v>
      </c>
      <c r="D2" s="70"/>
      <c r="E2" s="72" t="s">
        <v>42</v>
      </c>
      <c r="F2" s="71"/>
      <c r="G2" s="70"/>
    </row>
    <row r="3" spans="1:13" x14ac:dyDescent="0.2">
      <c r="C3" s="69" t="s">
        <v>35</v>
      </c>
      <c r="D3" s="70"/>
      <c r="E3" s="72" t="s">
        <v>58</v>
      </c>
      <c r="F3" s="71"/>
      <c r="G3" s="70"/>
    </row>
    <row r="4" spans="1:13" x14ac:dyDescent="0.2">
      <c r="C4" s="69" t="s">
        <v>36</v>
      </c>
      <c r="D4" s="70"/>
      <c r="E4" s="72" t="s">
        <v>57</v>
      </c>
      <c r="F4" s="71"/>
      <c r="G4" s="70"/>
    </row>
    <row r="5" spans="1:13" x14ac:dyDescent="0.2">
      <c r="C5" s="69" t="s">
        <v>37</v>
      </c>
      <c r="D5" s="70"/>
      <c r="E5" s="70" t="s">
        <v>39</v>
      </c>
      <c r="F5" s="71"/>
      <c r="G5" s="70"/>
    </row>
    <row r="6" spans="1:13" x14ac:dyDescent="0.2">
      <c r="C6" s="69" t="s">
        <v>38</v>
      </c>
      <c r="D6" s="70"/>
      <c r="E6" s="110">
        <v>41726</v>
      </c>
      <c r="F6" s="110"/>
      <c r="G6" s="70"/>
    </row>
    <row r="7" spans="1:13" ht="15" x14ac:dyDescent="0.25">
      <c r="C7" s="69" t="s">
        <v>99</v>
      </c>
      <c r="E7" s="113">
        <v>0</v>
      </c>
      <c r="F7" s="113"/>
    </row>
    <row r="8" spans="1:13" ht="18" x14ac:dyDescent="0.25">
      <c r="A8" s="26" t="s">
        <v>40</v>
      </c>
    </row>
    <row r="9" spans="1:13" ht="15.75" x14ac:dyDescent="0.25">
      <c r="A9" s="58" t="s">
        <v>23</v>
      </c>
      <c r="B9" s="59"/>
      <c r="C9" s="64"/>
      <c r="D9" s="59"/>
      <c r="E9" s="59"/>
      <c r="F9" s="65"/>
    </row>
    <row r="10" spans="1:13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  <c r="J10" s="81"/>
      <c r="K10" s="81"/>
      <c r="L10" s="81"/>
      <c r="M10" s="81"/>
    </row>
    <row r="11" spans="1:13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0.26200000000000001</v>
      </c>
      <c r="J11" s="24"/>
      <c r="K11" s="24"/>
      <c r="L11" s="24"/>
      <c r="M11" s="24"/>
    </row>
    <row r="12" spans="1:13" x14ac:dyDescent="0.25">
      <c r="A12" s="31">
        <v>2</v>
      </c>
      <c r="B12" s="32" t="s">
        <v>43</v>
      </c>
      <c r="C12" s="33"/>
      <c r="D12" s="37"/>
      <c r="E12" s="34"/>
      <c r="F12" s="35">
        <v>1.1080000000000001</v>
      </c>
    </row>
    <row r="13" spans="1:13" x14ac:dyDescent="0.25">
      <c r="A13" s="31">
        <v>3</v>
      </c>
      <c r="B13" s="32" t="s">
        <v>64</v>
      </c>
      <c r="C13" s="33"/>
      <c r="D13" s="37"/>
      <c r="E13" s="34"/>
      <c r="F13" s="35">
        <v>6.7290000000000001</v>
      </c>
    </row>
    <row r="14" spans="1:13" s="28" customFormat="1" ht="15" x14ac:dyDescent="0.25">
      <c r="A14" s="31">
        <v>4</v>
      </c>
      <c r="B14" s="32" t="s">
        <v>65</v>
      </c>
      <c r="C14" s="33"/>
      <c r="D14" s="32"/>
      <c r="E14" s="34"/>
      <c r="F14" s="35">
        <v>0.1</v>
      </c>
      <c r="J14" s="24"/>
      <c r="K14" s="24"/>
      <c r="L14" s="24"/>
      <c r="M14" s="24"/>
    </row>
    <row r="15" spans="1:13" x14ac:dyDescent="0.25">
      <c r="A15" s="31">
        <v>5</v>
      </c>
      <c r="B15" s="32" t="s">
        <v>28</v>
      </c>
      <c r="C15" s="33"/>
      <c r="D15" s="37"/>
      <c r="E15" s="34"/>
      <c r="F15" s="35">
        <v>0.53200000000000003</v>
      </c>
    </row>
    <row r="16" spans="1:13" s="28" customFormat="1" ht="15" x14ac:dyDescent="0.25">
      <c r="A16" s="31">
        <v>6</v>
      </c>
      <c r="B16" s="32" t="s">
        <v>29</v>
      </c>
      <c r="C16" s="33"/>
      <c r="D16" s="32"/>
      <c r="E16" s="34"/>
      <c r="F16" s="35">
        <v>1.89</v>
      </c>
      <c r="J16" s="24"/>
      <c r="K16" s="24"/>
      <c r="L16" s="24"/>
      <c r="M16" s="24"/>
    </row>
    <row r="17" spans="1:13" x14ac:dyDescent="0.25">
      <c r="A17" s="31">
        <v>7</v>
      </c>
      <c r="B17" s="32" t="s">
        <v>66</v>
      </c>
      <c r="C17" s="33"/>
      <c r="D17" s="37"/>
      <c r="E17" s="34"/>
      <c r="F17" s="35">
        <v>0.80500000000000005</v>
      </c>
    </row>
    <row r="18" spans="1:13" x14ac:dyDescent="0.25">
      <c r="A18" s="31">
        <v>8</v>
      </c>
      <c r="B18" s="32" t="s">
        <v>30</v>
      </c>
      <c r="C18" s="33"/>
      <c r="D18" s="37"/>
      <c r="E18" s="34"/>
      <c r="F18" s="35">
        <v>1.4E-2</v>
      </c>
    </row>
    <row r="19" spans="1:13" s="28" customFormat="1" ht="15" x14ac:dyDescent="0.25">
      <c r="A19" s="31">
        <v>9</v>
      </c>
      <c r="B19" s="32" t="s">
        <v>13</v>
      </c>
      <c r="C19" s="33"/>
      <c r="D19" s="33"/>
      <c r="E19" s="34"/>
      <c r="F19" s="35">
        <v>6.5110000000000001</v>
      </c>
      <c r="J19" s="24"/>
      <c r="K19" s="24"/>
      <c r="L19" s="24"/>
      <c r="M19" s="24"/>
    </row>
    <row r="20" spans="1:13" x14ac:dyDescent="0.25">
      <c r="A20" s="39" t="s">
        <v>106</v>
      </c>
      <c r="B20" s="36"/>
      <c r="C20" s="40"/>
      <c r="D20" s="36"/>
      <c r="E20" s="36"/>
      <c r="F20" s="41"/>
    </row>
    <row r="21" spans="1:13" s="27" customFormat="1" ht="15" customHeight="1" x14ac:dyDescent="0.25">
      <c r="A21" s="42" t="s">
        <v>14</v>
      </c>
      <c r="B21" s="43"/>
      <c r="C21" s="44"/>
      <c r="D21" s="43"/>
      <c r="E21" s="43"/>
      <c r="F21" s="45">
        <f>SUBTOTAL(9,F11:F20)</f>
        <v>17.951000000000001</v>
      </c>
      <c r="J21" s="81"/>
      <c r="K21" s="81"/>
      <c r="L21" s="81"/>
      <c r="M21" s="81"/>
    </row>
    <row r="22" spans="1:13" s="27" customFormat="1" ht="15.75" x14ac:dyDescent="0.25">
      <c r="A22" s="39"/>
      <c r="B22" s="36"/>
      <c r="C22" s="40"/>
      <c r="D22" s="36"/>
      <c r="E22" s="36"/>
      <c r="F22" s="41"/>
      <c r="J22" s="81"/>
      <c r="K22" s="81"/>
      <c r="L22" s="81"/>
      <c r="M22" s="81"/>
    </row>
    <row r="23" spans="1:13" s="27" customFormat="1" ht="15.75" x14ac:dyDescent="0.25">
      <c r="A23" s="31"/>
      <c r="B23" s="32" t="s">
        <v>31</v>
      </c>
      <c r="C23" s="33"/>
      <c r="D23" s="33"/>
      <c r="E23" s="34"/>
      <c r="F23" s="35">
        <f>F21*0.1</f>
        <v>1.7951000000000001</v>
      </c>
      <c r="J23" s="81"/>
      <c r="K23" s="81"/>
      <c r="L23" s="81"/>
      <c r="M23" s="81"/>
    </row>
    <row r="24" spans="1:13" s="28" customFormat="1" ht="15" x14ac:dyDescent="0.25">
      <c r="A24" s="31"/>
      <c r="B24" s="32" t="s">
        <v>55</v>
      </c>
      <c r="C24" s="33"/>
      <c r="D24" s="32"/>
      <c r="E24" s="32"/>
      <c r="F24" s="35">
        <f>SUM(F21:F23)*0.25</f>
        <v>4.9365250000000005</v>
      </c>
      <c r="J24" s="24"/>
      <c r="K24" s="81"/>
      <c r="L24" s="81"/>
      <c r="M24" s="24"/>
    </row>
    <row r="25" spans="1:13" s="28" customFormat="1" ht="15" x14ac:dyDescent="0.25">
      <c r="A25" s="39"/>
      <c r="B25" s="36"/>
      <c r="C25" s="40"/>
      <c r="D25" s="36"/>
      <c r="E25" s="36"/>
      <c r="F25" s="41"/>
      <c r="J25" s="24"/>
      <c r="K25" s="81"/>
      <c r="L25" s="81"/>
      <c r="M25" s="24"/>
    </row>
    <row r="26" spans="1:13" ht="15" x14ac:dyDescent="0.25">
      <c r="A26" s="73" t="s">
        <v>24</v>
      </c>
      <c r="B26" s="74"/>
      <c r="C26" s="75"/>
      <c r="D26" s="74"/>
      <c r="E26" s="74"/>
      <c r="F26" s="76">
        <f>SUM(F21:F25)</f>
        <v>24.682625000000002</v>
      </c>
      <c r="K26" s="81"/>
      <c r="L26" s="81"/>
    </row>
    <row r="27" spans="1:13" ht="15" x14ac:dyDescent="0.25">
      <c r="E27" s="29"/>
      <c r="K27" s="81"/>
      <c r="L27" s="81"/>
    </row>
    <row r="28" spans="1:13" ht="15.75" x14ac:dyDescent="0.25">
      <c r="A28" s="58" t="s">
        <v>15</v>
      </c>
      <c r="B28" s="59"/>
      <c r="C28" s="60"/>
      <c r="D28" s="61"/>
      <c r="E28" s="62" t="s">
        <v>56</v>
      </c>
      <c r="F28" s="63">
        <v>2.5000000000000001E-2</v>
      </c>
    </row>
    <row r="29" spans="1:13" s="27" customFormat="1" ht="30" x14ac:dyDescent="0.25">
      <c r="A29" s="46" t="s">
        <v>1</v>
      </c>
      <c r="B29" s="47" t="s">
        <v>2</v>
      </c>
      <c r="C29" s="49" t="s">
        <v>22</v>
      </c>
      <c r="D29" s="49" t="s">
        <v>17</v>
      </c>
      <c r="E29" s="49" t="s">
        <v>21</v>
      </c>
      <c r="F29" s="50" t="s">
        <v>0</v>
      </c>
      <c r="I29" s="28"/>
      <c r="J29" s="81"/>
      <c r="K29" s="81"/>
      <c r="L29" s="81"/>
      <c r="M29" s="81"/>
    </row>
    <row r="30" spans="1:13" s="28" customFormat="1" ht="15" x14ac:dyDescent="0.25">
      <c r="A30" s="31">
        <v>1</v>
      </c>
      <c r="B30" s="32" t="s">
        <v>18</v>
      </c>
      <c r="C30" s="51"/>
      <c r="D30" s="51"/>
      <c r="E30" s="34"/>
      <c r="F30" s="35">
        <f>SUBTOTAL(9,F31:F32)</f>
        <v>1.6340739571739724</v>
      </c>
    </row>
    <row r="31" spans="1:13" x14ac:dyDescent="0.25">
      <c r="A31" s="52">
        <f>A30+0.1</f>
        <v>1.1000000000000001</v>
      </c>
      <c r="B31" s="36" t="s">
        <v>16</v>
      </c>
      <c r="C31" s="53">
        <v>15000</v>
      </c>
      <c r="D31" s="54">
        <v>1</v>
      </c>
      <c r="E31" s="54">
        <v>100</v>
      </c>
      <c r="F31" s="55">
        <f>$C31*((1+$F$28)^$E31-1)/(((1+$F$28)^D31-1)*(1+$F$28)^$E31)/1000000</f>
        <v>0.54921157896718642</v>
      </c>
      <c r="H31" s="30"/>
    </row>
    <row r="32" spans="1:13" x14ac:dyDescent="0.25">
      <c r="A32" s="52">
        <f>A31+0.1</f>
        <v>1.2000000000000002</v>
      </c>
      <c r="B32" s="36" t="s">
        <v>19</v>
      </c>
      <c r="C32" s="53">
        <v>60000</v>
      </c>
      <c r="D32" s="54">
        <v>2</v>
      </c>
      <c r="E32" s="54">
        <v>100</v>
      </c>
      <c r="F32" s="55">
        <f>$C32*((1+$F$28)^$E32-1)/(((1+$F$28)^D32-1)*(1+$F$28)^$E32)/1000000</f>
        <v>1.0848623782067861</v>
      </c>
      <c r="H32" s="30"/>
    </row>
    <row r="33" spans="1:15" s="28" customFormat="1" ht="15" x14ac:dyDescent="0.25">
      <c r="A33" s="31">
        <v>2</v>
      </c>
      <c r="B33" s="32" t="s">
        <v>20</v>
      </c>
      <c r="C33" s="56"/>
      <c r="D33" s="57"/>
      <c r="E33" s="57"/>
      <c r="F33" s="35">
        <f>SUBTOTAL(9,F34:F35)</f>
        <v>1.2451574350338541</v>
      </c>
    </row>
    <row r="34" spans="1:15" ht="25.5" x14ac:dyDescent="0.25">
      <c r="A34" s="52">
        <f>A33+0.1</f>
        <v>2.1</v>
      </c>
      <c r="B34" s="38" t="s">
        <v>101</v>
      </c>
      <c r="C34" s="53">
        <v>361000</v>
      </c>
      <c r="D34" s="54">
        <v>10</v>
      </c>
      <c r="E34" s="54">
        <v>100</v>
      </c>
      <c r="F34" s="55">
        <f>$C34*((1+$F$28)^$E34-1)/(((1+$F$28)^D34-1)*(1+$F$28)^$E34)/1000000</f>
        <v>1.1797948400189537</v>
      </c>
      <c r="G34" s="80"/>
      <c r="H34" s="30"/>
    </row>
    <row r="35" spans="1:15" ht="25.5" x14ac:dyDescent="0.25">
      <c r="A35" s="52">
        <f>A34+0.1</f>
        <v>2.2000000000000002</v>
      </c>
      <c r="B35" s="38" t="s">
        <v>92</v>
      </c>
      <c r="C35" s="53">
        <v>20000</v>
      </c>
      <c r="D35" s="54">
        <v>10</v>
      </c>
      <c r="E35" s="54">
        <v>100</v>
      </c>
      <c r="F35" s="55">
        <f>$C35*((1+$F$28)^$E35-1)/(((1+$F$28)^D35-1)*(1+$F$28)^$E35)/1000000</f>
        <v>6.5362595014900479E-2</v>
      </c>
      <c r="G35" s="80"/>
      <c r="H35" s="30"/>
    </row>
    <row r="36" spans="1:15" x14ac:dyDescent="0.25">
      <c r="A36" s="42" t="s">
        <v>14</v>
      </c>
      <c r="B36" s="43"/>
      <c r="C36" s="44"/>
      <c r="D36" s="43"/>
      <c r="E36" s="43"/>
      <c r="F36" s="45">
        <f>SUBTOTAL(9,F30:F35)</f>
        <v>2.8792313922078265</v>
      </c>
      <c r="G36" s="80"/>
      <c r="H36" s="30"/>
    </row>
    <row r="37" spans="1:15" x14ac:dyDescent="0.25">
      <c r="A37" s="39"/>
      <c r="B37" s="36"/>
      <c r="C37" s="40"/>
      <c r="D37" s="36"/>
      <c r="E37" s="36"/>
      <c r="F37" s="41"/>
    </row>
    <row r="38" spans="1:15" s="28" customFormat="1" ht="15" x14ac:dyDescent="0.25">
      <c r="A38" s="73" t="str">
        <f>"Total Estimated Operational Costs (Over " &amp; TEXT(100,"0") &amp; "-Year Period)"</f>
        <v>Total Estimated Operational Costs (Over 100-Year Period)</v>
      </c>
      <c r="B38" s="74"/>
      <c r="C38" s="75"/>
      <c r="D38" s="74"/>
      <c r="E38" s="74"/>
      <c r="F38" s="76">
        <f>SUM(F36:F37)</f>
        <v>2.8792313922078265</v>
      </c>
    </row>
    <row r="39" spans="1:15" s="28" customFormat="1" ht="15" x14ac:dyDescent="0.25">
      <c r="A39" s="73" t="s">
        <v>41</v>
      </c>
      <c r="B39" s="74"/>
      <c r="C39" s="75"/>
      <c r="D39" s="74"/>
      <c r="E39" s="74"/>
      <c r="F39" s="79">
        <f>F38*F28*(1+F28)^100/((1+F28)^100-1)</f>
        <v>7.8637218400120293E-2</v>
      </c>
    </row>
    <row r="41" spans="1:15" s="28" customFormat="1" ht="15.75" x14ac:dyDescent="0.25">
      <c r="A41" s="58" t="str">
        <f>"Total Estimated Lifecycle Costs (Over " &amp; TEXT(100,"0") &amp; "-Year Period)"</f>
        <v>Total Estimated Lifecycle Costs (Over 100-Year Period)</v>
      </c>
      <c r="B41" s="66"/>
      <c r="C41" s="67"/>
      <c r="D41" s="66"/>
      <c r="E41" s="66"/>
      <c r="F41" s="68">
        <f>F26+F38</f>
        <v>27.561856392207829</v>
      </c>
    </row>
    <row r="42" spans="1:15" ht="14.25" customHeight="1" x14ac:dyDescent="0.25">
      <c r="A42" s="111" t="s">
        <v>97</v>
      </c>
      <c r="B42" s="111"/>
      <c r="C42" s="111"/>
      <c r="D42" s="111"/>
      <c r="E42" s="111"/>
      <c r="F42" s="111"/>
    </row>
    <row r="43" spans="1:15" s="27" customFormat="1" ht="15.75" x14ac:dyDescent="0.25">
      <c r="A43" s="112"/>
      <c r="B43" s="112"/>
      <c r="C43" s="112"/>
      <c r="D43" s="112"/>
      <c r="E43" s="112"/>
      <c r="F43" s="112"/>
      <c r="G43" s="80"/>
      <c r="J43" s="24"/>
      <c r="K43" s="24"/>
      <c r="L43" s="24"/>
      <c r="M43" s="24"/>
      <c r="N43" s="82"/>
      <c r="O43" s="28"/>
    </row>
    <row r="44" spans="1:15" x14ac:dyDescent="0.25">
      <c r="C44" s="77"/>
      <c r="N44" s="82"/>
    </row>
    <row r="45" spans="1:15" x14ac:dyDescent="0.25">
      <c r="C45" s="77"/>
      <c r="N45" s="82"/>
      <c r="O45" s="82"/>
    </row>
    <row r="46" spans="1:15" ht="15" x14ac:dyDescent="0.25">
      <c r="N46" s="82"/>
      <c r="O46" s="28"/>
    </row>
    <row r="47" spans="1:15" x14ac:dyDescent="0.25">
      <c r="N47" s="82"/>
      <c r="O47" s="82"/>
    </row>
    <row r="48" spans="1:15" ht="15" x14ac:dyDescent="0.25">
      <c r="M48" s="82"/>
      <c r="N48" s="82"/>
      <c r="O48" s="28"/>
    </row>
    <row r="49" spans="12:15" x14ac:dyDescent="0.25">
      <c r="L49" s="82"/>
      <c r="N49" s="82"/>
      <c r="O49" s="82"/>
    </row>
    <row r="50" spans="12:15" ht="15" x14ac:dyDescent="0.25">
      <c r="N50" s="82"/>
      <c r="O50" s="28"/>
    </row>
    <row r="51" spans="12:15" x14ac:dyDescent="0.25">
      <c r="N51" s="82"/>
      <c r="O51" s="82"/>
    </row>
    <row r="52" spans="12:15" x14ac:dyDescent="0.25">
      <c r="N52" s="82"/>
    </row>
    <row r="53" spans="12:15" x14ac:dyDescent="0.25">
      <c r="M53" s="82"/>
      <c r="N53" s="82"/>
      <c r="O53" s="82"/>
    </row>
    <row r="54" spans="12:15" ht="15" x14ac:dyDescent="0.25">
      <c r="N54" s="82"/>
      <c r="O54" s="28"/>
    </row>
    <row r="55" spans="12:15" x14ac:dyDescent="0.25">
      <c r="N55" s="82"/>
      <c r="O55" s="82"/>
    </row>
    <row r="56" spans="12:15" ht="15" x14ac:dyDescent="0.25">
      <c r="L56" s="82"/>
      <c r="N56" s="82"/>
      <c r="O56" s="28"/>
    </row>
    <row r="57" spans="12:15" ht="15" x14ac:dyDescent="0.25">
      <c r="M57" s="81"/>
      <c r="N57" s="82"/>
      <c r="O57" s="82"/>
    </row>
    <row r="58" spans="12:15" ht="15" x14ac:dyDescent="0.25">
      <c r="M58" s="82"/>
      <c r="N58" s="82"/>
      <c r="O58" s="28"/>
    </row>
    <row r="59" spans="12:15" x14ac:dyDescent="0.25">
      <c r="N59" s="82"/>
      <c r="O59" s="82"/>
    </row>
    <row r="60" spans="12:15" x14ac:dyDescent="0.25">
      <c r="N60" s="82"/>
    </row>
    <row r="61" spans="12:15" x14ac:dyDescent="0.25">
      <c r="N61" s="82"/>
      <c r="O61" s="82"/>
    </row>
    <row r="62" spans="12:15" ht="15" x14ac:dyDescent="0.25">
      <c r="L62" s="82"/>
      <c r="N62" s="82"/>
      <c r="O62" s="28"/>
    </row>
    <row r="63" spans="12:15" x14ac:dyDescent="0.25">
      <c r="M63" s="82"/>
      <c r="N63" s="82"/>
      <c r="O63" s="82"/>
    </row>
    <row r="64" spans="12:15" ht="15" x14ac:dyDescent="0.25">
      <c r="N64" s="82"/>
      <c r="O64" s="28"/>
    </row>
    <row r="65" spans="12:15" x14ac:dyDescent="0.25">
      <c r="N65" s="82"/>
      <c r="O65" s="82"/>
    </row>
    <row r="66" spans="12:15" ht="15" x14ac:dyDescent="0.25">
      <c r="N66" s="82"/>
      <c r="O66" s="28"/>
    </row>
    <row r="67" spans="12:15" x14ac:dyDescent="0.25">
      <c r="N67" s="82"/>
      <c r="O67" s="82"/>
    </row>
    <row r="68" spans="12:15" x14ac:dyDescent="0.25">
      <c r="L68" s="82"/>
      <c r="M68" s="82"/>
      <c r="N68" s="82"/>
    </row>
    <row r="69" spans="12:15" x14ac:dyDescent="0.25">
      <c r="N69" s="82"/>
      <c r="O69" s="82"/>
    </row>
    <row r="70" spans="12:15" ht="15" x14ac:dyDescent="0.25">
      <c r="N70" s="82"/>
      <c r="O70" s="28"/>
    </row>
    <row r="71" spans="12:15" x14ac:dyDescent="0.25">
      <c r="N71" s="82"/>
      <c r="O71" s="82"/>
    </row>
    <row r="72" spans="12:15" ht="15" x14ac:dyDescent="0.25">
      <c r="N72" s="82"/>
      <c r="O72" s="28"/>
    </row>
    <row r="73" spans="12:15" x14ac:dyDescent="0.25">
      <c r="M73" s="82"/>
      <c r="N73" s="82"/>
      <c r="O73" s="82"/>
    </row>
    <row r="74" spans="12:15" ht="15" x14ac:dyDescent="0.25">
      <c r="L74" s="82"/>
      <c r="N74" s="82"/>
      <c r="O74" s="28"/>
    </row>
    <row r="75" spans="12:15" x14ac:dyDescent="0.25">
      <c r="N75" s="82"/>
      <c r="O75" s="82"/>
    </row>
    <row r="76" spans="12:15" x14ac:dyDescent="0.25">
      <c r="N76" s="82"/>
    </row>
    <row r="77" spans="12:15" x14ac:dyDescent="0.25">
      <c r="N77" s="82"/>
      <c r="O77" s="82"/>
    </row>
    <row r="78" spans="12:15" ht="15" x14ac:dyDescent="0.25">
      <c r="M78" s="82"/>
      <c r="N78" s="82"/>
      <c r="O78" s="28"/>
    </row>
    <row r="79" spans="12:15" x14ac:dyDescent="0.25">
      <c r="N79" s="82"/>
      <c r="O79" s="82"/>
    </row>
    <row r="80" spans="12:15" ht="15" x14ac:dyDescent="0.25">
      <c r="N80" s="82"/>
      <c r="O80" s="28"/>
    </row>
    <row r="81" spans="12:15" x14ac:dyDescent="0.25">
      <c r="L81" s="82"/>
      <c r="N81" s="82"/>
      <c r="O81" s="82"/>
    </row>
    <row r="82" spans="12:15" ht="15" x14ac:dyDescent="0.25">
      <c r="N82" s="82"/>
      <c r="O82" s="28"/>
    </row>
    <row r="83" spans="12:15" x14ac:dyDescent="0.25">
      <c r="M83" s="82"/>
      <c r="N83" s="82"/>
      <c r="O83" s="82"/>
    </row>
    <row r="84" spans="12:15" x14ac:dyDescent="0.25">
      <c r="N84" s="82"/>
    </row>
    <row r="85" spans="12:15" x14ac:dyDescent="0.25">
      <c r="N85" s="82"/>
      <c r="O85" s="82"/>
    </row>
    <row r="86" spans="12:15" ht="15" x14ac:dyDescent="0.25">
      <c r="N86" s="82"/>
      <c r="O86" s="28"/>
    </row>
    <row r="87" spans="12:15" x14ac:dyDescent="0.25">
      <c r="L87" s="82"/>
      <c r="N87" s="82"/>
      <c r="O87" s="82"/>
    </row>
    <row r="88" spans="12:15" ht="15" x14ac:dyDescent="0.25">
      <c r="M88" s="82"/>
      <c r="N88" s="82"/>
      <c r="O88" s="28"/>
    </row>
    <row r="89" spans="12:15" x14ac:dyDescent="0.25">
      <c r="N89" s="82"/>
      <c r="O89" s="82"/>
    </row>
    <row r="90" spans="12:15" ht="15" x14ac:dyDescent="0.25">
      <c r="N90" s="82"/>
      <c r="O90" s="28"/>
    </row>
    <row r="91" spans="12:15" x14ac:dyDescent="0.25">
      <c r="N91" s="82"/>
      <c r="O91" s="82"/>
    </row>
    <row r="92" spans="12:15" x14ac:dyDescent="0.25">
      <c r="N92" s="82"/>
    </row>
    <row r="93" spans="12:15" x14ac:dyDescent="0.25">
      <c r="L93" s="82"/>
      <c r="M93" s="82"/>
      <c r="N93" s="82"/>
      <c r="O93" s="82"/>
    </row>
    <row r="94" spans="12:15" ht="15" x14ac:dyDescent="0.25">
      <c r="N94" s="82"/>
      <c r="O94" s="28"/>
    </row>
    <row r="95" spans="12:15" x14ac:dyDescent="0.25">
      <c r="N95" s="82"/>
      <c r="O95" s="82"/>
    </row>
    <row r="96" spans="12:15" ht="15" x14ac:dyDescent="0.25">
      <c r="N96" s="82"/>
      <c r="O96" s="28"/>
    </row>
    <row r="97" spans="12:15" x14ac:dyDescent="0.25">
      <c r="N97" s="82"/>
      <c r="O97" s="82"/>
    </row>
    <row r="98" spans="12:15" ht="15" x14ac:dyDescent="0.25">
      <c r="M98" s="82"/>
      <c r="N98" s="82"/>
      <c r="O98" s="28"/>
    </row>
    <row r="99" spans="12:15" x14ac:dyDescent="0.25">
      <c r="L99" s="82"/>
      <c r="N99" s="82"/>
      <c r="O99" s="82"/>
    </row>
    <row r="100" spans="12:15" x14ac:dyDescent="0.25">
      <c r="N100" s="82"/>
    </row>
    <row r="101" spans="12:15" x14ac:dyDescent="0.25">
      <c r="N101" s="82"/>
      <c r="O101" s="82"/>
    </row>
    <row r="102" spans="12:15" ht="15" x14ac:dyDescent="0.25">
      <c r="N102" s="82"/>
      <c r="O102" s="28"/>
    </row>
    <row r="103" spans="12:15" x14ac:dyDescent="0.25">
      <c r="M103" s="82"/>
      <c r="N103" s="82"/>
      <c r="O103" s="82"/>
    </row>
    <row r="104" spans="12:15" ht="15" x14ac:dyDescent="0.25">
      <c r="N104" s="82"/>
      <c r="O104" s="28"/>
    </row>
    <row r="105" spans="12:15" x14ac:dyDescent="0.25">
      <c r="N105" s="82"/>
      <c r="O105" s="82"/>
    </row>
    <row r="106" spans="12:15" ht="15" x14ac:dyDescent="0.25">
      <c r="L106" s="82"/>
      <c r="N106" s="82"/>
      <c r="O106" s="28"/>
    </row>
    <row r="107" spans="12:15" x14ac:dyDescent="0.25">
      <c r="N107" s="82"/>
      <c r="O107" s="82"/>
    </row>
    <row r="108" spans="12:15" x14ac:dyDescent="0.25">
      <c r="M108" s="82"/>
      <c r="N108" s="82"/>
    </row>
    <row r="109" spans="12:15" x14ac:dyDescent="0.25">
      <c r="N109" s="82"/>
      <c r="O109" s="82"/>
    </row>
    <row r="110" spans="12:15" ht="15" x14ac:dyDescent="0.25">
      <c r="N110" s="82"/>
      <c r="O110" s="28"/>
    </row>
    <row r="111" spans="12:15" x14ac:dyDescent="0.25">
      <c r="N111" s="82"/>
      <c r="O111" s="82"/>
    </row>
    <row r="112" spans="12:15" ht="15" x14ac:dyDescent="0.25">
      <c r="L112" s="82"/>
      <c r="N112" s="82"/>
      <c r="O112" s="28"/>
    </row>
    <row r="113" spans="12:15" x14ac:dyDescent="0.25">
      <c r="M113" s="82"/>
      <c r="N113" s="82"/>
      <c r="O113" s="82"/>
    </row>
    <row r="114" spans="12:15" ht="15" x14ac:dyDescent="0.25">
      <c r="N114" s="82"/>
      <c r="O114" s="28"/>
    </row>
    <row r="115" spans="12:15" x14ac:dyDescent="0.25">
      <c r="N115" s="82"/>
      <c r="O115" s="82"/>
    </row>
    <row r="116" spans="12:15" x14ac:dyDescent="0.25">
      <c r="N116" s="82"/>
    </row>
    <row r="117" spans="12:15" x14ac:dyDescent="0.25">
      <c r="N117" s="82"/>
      <c r="O117" s="82"/>
    </row>
    <row r="118" spans="12:15" ht="15" x14ac:dyDescent="0.25">
      <c r="L118" s="82"/>
      <c r="M118" s="82"/>
      <c r="N118" s="82"/>
      <c r="O118" s="28"/>
    </row>
    <row r="119" spans="12:15" x14ac:dyDescent="0.25">
      <c r="N119" s="82"/>
      <c r="O119" s="82"/>
    </row>
    <row r="120" spans="12:15" ht="15" x14ac:dyDescent="0.25">
      <c r="N120" s="82"/>
      <c r="O120" s="28"/>
    </row>
    <row r="121" spans="12:15" x14ac:dyDescent="0.25">
      <c r="N121" s="82"/>
      <c r="O121" s="82"/>
    </row>
    <row r="122" spans="12:15" ht="15" x14ac:dyDescent="0.25">
      <c r="N122" s="82"/>
      <c r="O122" s="28"/>
    </row>
    <row r="123" spans="12:15" x14ac:dyDescent="0.25">
      <c r="M123" s="82"/>
      <c r="N123" s="82"/>
      <c r="O123" s="82"/>
    </row>
    <row r="124" spans="12:15" x14ac:dyDescent="0.25">
      <c r="L124" s="82"/>
      <c r="N124" s="82"/>
    </row>
    <row r="125" spans="12:15" x14ac:dyDescent="0.25">
      <c r="N125" s="82"/>
      <c r="O125" s="82"/>
    </row>
    <row r="126" spans="12:15" ht="15" x14ac:dyDescent="0.25">
      <c r="N126" s="82"/>
      <c r="O126" s="28"/>
    </row>
    <row r="127" spans="12:15" x14ac:dyDescent="0.25">
      <c r="N127" s="82"/>
      <c r="O127" s="82"/>
    </row>
    <row r="128" spans="12:15" ht="15" x14ac:dyDescent="0.25">
      <c r="M128" s="82"/>
      <c r="N128" s="82"/>
      <c r="O128" s="28"/>
    </row>
    <row r="129" spans="12:15" x14ac:dyDescent="0.25">
      <c r="N129" s="82"/>
      <c r="O129" s="82"/>
    </row>
    <row r="130" spans="12:15" ht="15" x14ac:dyDescent="0.25">
      <c r="N130" s="82"/>
      <c r="O130" s="28"/>
    </row>
    <row r="131" spans="12:15" x14ac:dyDescent="0.25">
      <c r="L131" s="82"/>
      <c r="N131" s="82"/>
      <c r="O131" s="82"/>
    </row>
    <row r="132" spans="12:15" x14ac:dyDescent="0.25">
      <c r="N132" s="82"/>
    </row>
    <row r="133" spans="12:15" x14ac:dyDescent="0.25">
      <c r="M133" s="82"/>
      <c r="N133" s="82"/>
      <c r="O133" s="82"/>
    </row>
    <row r="134" spans="12:15" ht="15" x14ac:dyDescent="0.25">
      <c r="N134" s="82"/>
      <c r="O134" s="28"/>
    </row>
    <row r="135" spans="12:15" x14ac:dyDescent="0.25">
      <c r="N135" s="82"/>
      <c r="O135" s="82"/>
    </row>
    <row r="136" spans="12:15" ht="15" x14ac:dyDescent="0.25">
      <c r="N136" s="82"/>
      <c r="O136" s="28"/>
    </row>
    <row r="137" spans="12:15" x14ac:dyDescent="0.25">
      <c r="L137" s="82"/>
      <c r="N137" s="82"/>
      <c r="O137" s="82"/>
    </row>
    <row r="138" spans="12:15" ht="15" x14ac:dyDescent="0.25">
      <c r="M138" s="82"/>
      <c r="N138" s="82"/>
      <c r="O138" s="28"/>
    </row>
    <row r="139" spans="12:15" x14ac:dyDescent="0.25">
      <c r="N139" s="82"/>
      <c r="O139" s="82"/>
    </row>
    <row r="140" spans="12:15" ht="15" x14ac:dyDescent="0.25">
      <c r="N140" s="82"/>
      <c r="O140" s="28"/>
    </row>
    <row r="141" spans="12:15" x14ac:dyDescent="0.25">
      <c r="N141" s="82"/>
      <c r="O141" s="82"/>
    </row>
    <row r="142" spans="12:15" ht="15" x14ac:dyDescent="0.25">
      <c r="N142" s="82"/>
      <c r="O142" s="28"/>
    </row>
    <row r="143" spans="12:15" x14ac:dyDescent="0.25">
      <c r="L143" s="82"/>
      <c r="M143" s="82"/>
      <c r="N143" s="82"/>
      <c r="O143" s="82"/>
    </row>
    <row r="144" spans="12:15" x14ac:dyDescent="0.25">
      <c r="L144" s="78"/>
      <c r="M144" s="78"/>
      <c r="N144" s="78"/>
      <c r="O144" s="78"/>
    </row>
  </sheetData>
  <mergeCells count="3">
    <mergeCell ref="E6:F6"/>
    <mergeCell ref="A42:F43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7"/>
  <sheetViews>
    <sheetView topLeftCell="A22" zoomScale="85" zoomScaleNormal="85" workbookViewId="0">
      <selection activeCell="F55" sqref="F55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1" width="9.140625" style="24"/>
    <col min="12" max="12" width="14" style="24" bestFit="1" customWidth="1"/>
    <col min="13" max="13" width="17.140625" style="24" bestFit="1" customWidth="1"/>
    <col min="14" max="14" width="13.140625" style="24" bestFit="1" customWidth="1"/>
    <col min="15" max="15" width="11.42578125" style="24" bestFit="1" customWidth="1"/>
    <col min="16" max="16384" width="9.140625" style="24"/>
  </cols>
  <sheetData>
    <row r="1" spans="1:13" x14ac:dyDescent="0.2">
      <c r="C1" s="69" t="s">
        <v>33</v>
      </c>
      <c r="D1" s="70"/>
      <c r="E1" s="69" t="s">
        <v>67</v>
      </c>
      <c r="F1" s="71"/>
      <c r="G1" s="70"/>
    </row>
    <row r="2" spans="1:13" x14ac:dyDescent="0.2">
      <c r="C2" s="69" t="s">
        <v>34</v>
      </c>
      <c r="D2" s="70"/>
      <c r="E2" s="72" t="s">
        <v>42</v>
      </c>
      <c r="F2" s="71"/>
      <c r="G2" s="70"/>
    </row>
    <row r="3" spans="1:13" x14ac:dyDescent="0.2">
      <c r="C3" s="69" t="s">
        <v>35</v>
      </c>
      <c r="D3" s="70"/>
      <c r="E3" s="72" t="s">
        <v>58</v>
      </c>
      <c r="F3" s="71"/>
      <c r="G3" s="70"/>
    </row>
    <row r="4" spans="1:13" x14ac:dyDescent="0.2">
      <c r="C4" s="69" t="s">
        <v>36</v>
      </c>
      <c r="D4" s="70"/>
      <c r="E4" s="72" t="s">
        <v>57</v>
      </c>
      <c r="F4" s="71"/>
      <c r="G4" s="70"/>
    </row>
    <row r="5" spans="1:13" x14ac:dyDescent="0.2">
      <c r="C5" s="69" t="s">
        <v>37</v>
      </c>
      <c r="D5" s="70"/>
      <c r="E5" s="70" t="s">
        <v>39</v>
      </c>
      <c r="F5" s="71"/>
      <c r="G5" s="70"/>
    </row>
    <row r="6" spans="1:13" x14ac:dyDescent="0.2">
      <c r="C6" s="69" t="s">
        <v>38</v>
      </c>
      <c r="D6" s="70"/>
      <c r="E6" s="110">
        <v>41726</v>
      </c>
      <c r="F6" s="110"/>
      <c r="G6" s="70"/>
    </row>
    <row r="7" spans="1:13" ht="15" x14ac:dyDescent="0.25">
      <c r="C7" s="69" t="s">
        <v>99</v>
      </c>
      <c r="E7" s="113">
        <v>0</v>
      </c>
      <c r="F7" s="113"/>
    </row>
    <row r="8" spans="1:13" ht="18" x14ac:dyDescent="0.25">
      <c r="A8" s="26" t="s">
        <v>40</v>
      </c>
    </row>
    <row r="9" spans="1:13" ht="15.75" x14ac:dyDescent="0.25">
      <c r="A9" s="58" t="s">
        <v>23</v>
      </c>
      <c r="B9" s="59"/>
      <c r="C9" s="64"/>
      <c r="D9" s="59"/>
      <c r="E9" s="59"/>
      <c r="F9" s="65"/>
    </row>
    <row r="10" spans="1:13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  <c r="J10" s="81"/>
      <c r="K10" s="81"/>
      <c r="L10" s="81"/>
      <c r="M10" s="81"/>
    </row>
    <row r="11" spans="1:13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0.78100000000000003</v>
      </c>
      <c r="J11" s="24"/>
      <c r="K11" s="24"/>
      <c r="L11" s="24"/>
      <c r="M11" s="24"/>
    </row>
    <row r="12" spans="1:13" x14ac:dyDescent="0.25">
      <c r="A12" s="31">
        <v>2</v>
      </c>
      <c r="B12" s="32" t="s">
        <v>43</v>
      </c>
      <c r="C12" s="33"/>
      <c r="D12" s="37"/>
      <c r="E12" s="34"/>
      <c r="F12" s="35">
        <v>1.1080000000000001</v>
      </c>
    </row>
    <row r="13" spans="1:13" s="28" customFormat="1" ht="15" x14ac:dyDescent="0.25">
      <c r="A13" s="31">
        <v>3</v>
      </c>
      <c r="B13" s="32" t="s">
        <v>68</v>
      </c>
      <c r="C13" s="33"/>
      <c r="D13" s="37"/>
      <c r="E13" s="34"/>
      <c r="F13" s="35">
        <v>5.2640000000000002</v>
      </c>
      <c r="J13" s="24"/>
      <c r="K13" s="24"/>
      <c r="L13" s="24"/>
      <c r="M13" s="24"/>
    </row>
    <row r="14" spans="1:13" x14ac:dyDescent="0.25">
      <c r="A14" s="31">
        <v>4</v>
      </c>
      <c r="B14" s="32" t="s">
        <v>69</v>
      </c>
      <c r="C14" s="33"/>
      <c r="D14" s="37"/>
      <c r="E14" s="34"/>
      <c r="F14" s="35">
        <v>1.0640000000000001</v>
      </c>
    </row>
    <row r="15" spans="1:13" s="28" customFormat="1" ht="15" x14ac:dyDescent="0.25">
      <c r="A15" s="31">
        <v>5</v>
      </c>
      <c r="B15" s="32" t="s">
        <v>65</v>
      </c>
      <c r="C15" s="33"/>
      <c r="D15" s="32"/>
      <c r="E15" s="34"/>
      <c r="F15" s="35">
        <v>8.2000000000000003E-2</v>
      </c>
      <c r="J15" s="24"/>
      <c r="K15" s="24"/>
      <c r="L15" s="24"/>
      <c r="M15" s="24"/>
    </row>
    <row r="16" spans="1:13" x14ac:dyDescent="0.25">
      <c r="A16" s="31">
        <v>6</v>
      </c>
      <c r="B16" s="32" t="s">
        <v>28</v>
      </c>
      <c r="C16" s="33"/>
      <c r="D16" s="37"/>
      <c r="E16" s="34"/>
      <c r="F16" s="35">
        <v>0.42099999999999999</v>
      </c>
    </row>
    <row r="17" spans="1:13" s="28" customFormat="1" ht="15" x14ac:dyDescent="0.25">
      <c r="A17" s="31">
        <v>7</v>
      </c>
      <c r="B17" s="32" t="s">
        <v>29</v>
      </c>
      <c r="C17" s="33"/>
      <c r="D17" s="32"/>
      <c r="E17" s="34"/>
      <c r="F17" s="35">
        <v>1.4850000000000001</v>
      </c>
      <c r="J17" s="24"/>
      <c r="K17" s="24"/>
      <c r="L17" s="24"/>
      <c r="M17" s="24"/>
    </row>
    <row r="18" spans="1:13" x14ac:dyDescent="0.25">
      <c r="A18" s="31">
        <v>8</v>
      </c>
      <c r="B18" s="32" t="s">
        <v>66</v>
      </c>
      <c r="C18" s="33"/>
      <c r="D18" s="37"/>
      <c r="E18" s="34"/>
      <c r="F18" s="35">
        <v>0.80200000000000005</v>
      </c>
    </row>
    <row r="19" spans="1:13" x14ac:dyDescent="0.25">
      <c r="A19" s="31">
        <v>9</v>
      </c>
      <c r="B19" s="32" t="s">
        <v>30</v>
      </c>
      <c r="C19" s="33"/>
      <c r="D19" s="37"/>
      <c r="E19" s="34"/>
      <c r="F19" s="35">
        <v>2.1999999999999999E-2</v>
      </c>
    </row>
    <row r="20" spans="1:13" s="28" customFormat="1" ht="15" x14ac:dyDescent="0.25">
      <c r="A20" s="31">
        <v>10</v>
      </c>
      <c r="B20" s="32" t="s">
        <v>13</v>
      </c>
      <c r="C20" s="33"/>
      <c r="D20" s="33"/>
      <c r="E20" s="34"/>
      <c r="F20" s="35">
        <v>5.8419999999999996</v>
      </c>
      <c r="J20" s="24"/>
      <c r="K20" s="24"/>
      <c r="L20" s="24"/>
      <c r="M20" s="24"/>
    </row>
    <row r="21" spans="1:13" x14ac:dyDescent="0.25">
      <c r="A21" s="39" t="s">
        <v>107</v>
      </c>
      <c r="B21" s="36"/>
      <c r="C21" s="40"/>
      <c r="D21" s="36"/>
      <c r="E21" s="36"/>
      <c r="F21" s="41"/>
    </row>
    <row r="22" spans="1:13" s="27" customFormat="1" ht="15" customHeight="1" x14ac:dyDescent="0.25">
      <c r="A22" s="42" t="s">
        <v>14</v>
      </c>
      <c r="B22" s="43"/>
      <c r="C22" s="44"/>
      <c r="D22" s="43"/>
      <c r="E22" s="43"/>
      <c r="F22" s="45">
        <f>SUBTOTAL(9,F11:F21)</f>
        <v>16.870999999999999</v>
      </c>
      <c r="J22" s="81"/>
      <c r="K22" s="81"/>
      <c r="L22" s="81"/>
      <c r="M22" s="81"/>
    </row>
    <row r="23" spans="1:13" s="27" customFormat="1" ht="15.75" x14ac:dyDescent="0.25">
      <c r="A23" s="39"/>
      <c r="B23" s="36"/>
      <c r="C23" s="40"/>
      <c r="D23" s="36"/>
      <c r="E23" s="36"/>
      <c r="F23" s="41"/>
      <c r="J23" s="81"/>
      <c r="K23" s="81"/>
      <c r="L23" s="81"/>
      <c r="M23" s="81"/>
    </row>
    <row r="24" spans="1:13" s="27" customFormat="1" ht="15.75" x14ac:dyDescent="0.25">
      <c r="A24" s="31"/>
      <c r="B24" s="32" t="s">
        <v>31</v>
      </c>
      <c r="C24" s="33"/>
      <c r="D24" s="33"/>
      <c r="E24" s="34"/>
      <c r="F24" s="35">
        <f>F22*0.1</f>
        <v>1.6871</v>
      </c>
      <c r="J24" s="81"/>
      <c r="K24" s="81"/>
      <c r="L24" s="81"/>
      <c r="M24" s="81"/>
    </row>
    <row r="25" spans="1:13" s="28" customFormat="1" ht="15" x14ac:dyDescent="0.25">
      <c r="A25" s="31"/>
      <c r="B25" s="32" t="s">
        <v>55</v>
      </c>
      <c r="C25" s="33"/>
      <c r="D25" s="32"/>
      <c r="E25" s="32"/>
      <c r="F25" s="35">
        <f>SUM(F22:F24)*0.25</f>
        <v>4.6395249999999999</v>
      </c>
      <c r="J25" s="24"/>
      <c r="K25" s="81"/>
      <c r="L25" s="81"/>
      <c r="M25" s="24"/>
    </row>
    <row r="26" spans="1:13" s="28" customFormat="1" ht="15" x14ac:dyDescent="0.25">
      <c r="A26" s="39"/>
      <c r="B26" s="36"/>
      <c r="C26" s="40"/>
      <c r="D26" s="36"/>
      <c r="E26" s="36"/>
      <c r="F26" s="41"/>
      <c r="J26" s="24"/>
      <c r="K26" s="81"/>
      <c r="L26" s="81"/>
      <c r="M26" s="24"/>
    </row>
    <row r="27" spans="1:13" ht="15" x14ac:dyDescent="0.25">
      <c r="A27" s="73" t="s">
        <v>24</v>
      </c>
      <c r="B27" s="74"/>
      <c r="C27" s="75"/>
      <c r="D27" s="74"/>
      <c r="E27" s="74"/>
      <c r="F27" s="76">
        <f>SUM(F22:F26)</f>
        <v>23.197624999999999</v>
      </c>
      <c r="K27" s="81"/>
      <c r="L27" s="81"/>
    </row>
    <row r="28" spans="1:13" ht="15" x14ac:dyDescent="0.25">
      <c r="E28" s="29"/>
      <c r="K28" s="81"/>
      <c r="L28" s="81"/>
    </row>
    <row r="29" spans="1:13" ht="15.75" x14ac:dyDescent="0.25">
      <c r="A29" s="58" t="s">
        <v>15</v>
      </c>
      <c r="B29" s="59"/>
      <c r="C29" s="60"/>
      <c r="D29" s="61"/>
      <c r="E29" s="62" t="s">
        <v>56</v>
      </c>
      <c r="F29" s="63">
        <v>2.5000000000000001E-2</v>
      </c>
    </row>
    <row r="30" spans="1:13" s="27" customFormat="1" ht="30" x14ac:dyDescent="0.25">
      <c r="A30" s="46" t="s">
        <v>1</v>
      </c>
      <c r="B30" s="47" t="s">
        <v>2</v>
      </c>
      <c r="C30" s="49" t="s">
        <v>22</v>
      </c>
      <c r="D30" s="49" t="s">
        <v>17</v>
      </c>
      <c r="E30" s="49" t="s">
        <v>21</v>
      </c>
      <c r="F30" s="50" t="s">
        <v>0</v>
      </c>
      <c r="I30" s="28"/>
      <c r="J30" s="81"/>
      <c r="K30" s="81"/>
      <c r="L30" s="81"/>
      <c r="M30" s="81"/>
    </row>
    <row r="31" spans="1:13" s="28" customFormat="1" ht="15" x14ac:dyDescent="0.25">
      <c r="A31" s="31">
        <v>1</v>
      </c>
      <c r="B31" s="32" t="s">
        <v>18</v>
      </c>
      <c r="C31" s="51"/>
      <c r="D31" s="51"/>
      <c r="E31" s="34"/>
      <c r="F31" s="35">
        <f>SUBTOTAL(9,F32:F33)</f>
        <v>1.6340739571739724</v>
      </c>
    </row>
    <row r="32" spans="1:13" x14ac:dyDescent="0.25">
      <c r="A32" s="52">
        <f>A31+0.1</f>
        <v>1.1000000000000001</v>
      </c>
      <c r="B32" s="36" t="s">
        <v>16</v>
      </c>
      <c r="C32" s="53">
        <v>15000</v>
      </c>
      <c r="D32" s="54">
        <v>1</v>
      </c>
      <c r="E32" s="54">
        <v>100</v>
      </c>
      <c r="F32" s="55">
        <f>$C32*((1+$F$29)^$E32-1)/(((1+$F$29)^D32-1)*(1+$F$29)^$E32)/1000000</f>
        <v>0.54921157896718642</v>
      </c>
      <c r="H32" s="30"/>
    </row>
    <row r="33" spans="1:15" x14ac:dyDescent="0.25">
      <c r="A33" s="52">
        <f>A32+0.1</f>
        <v>1.2000000000000002</v>
      </c>
      <c r="B33" s="36" t="s">
        <v>19</v>
      </c>
      <c r="C33" s="53">
        <v>60000</v>
      </c>
      <c r="D33" s="54">
        <v>2</v>
      </c>
      <c r="E33" s="54">
        <v>100</v>
      </c>
      <c r="F33" s="55">
        <f>$C33*((1+$F$29)^$E33-1)/(((1+$F$29)^D33-1)*(1+$F$29)^$E33)/1000000</f>
        <v>1.0848623782067861</v>
      </c>
      <c r="H33" s="30"/>
    </row>
    <row r="34" spans="1:15" s="28" customFormat="1" ht="15" x14ac:dyDescent="0.25">
      <c r="A34" s="31">
        <v>2</v>
      </c>
      <c r="B34" s="32" t="s">
        <v>20</v>
      </c>
      <c r="C34" s="56"/>
      <c r="D34" s="57"/>
      <c r="E34" s="57"/>
      <c r="F34" s="35">
        <f>SUBTOTAL(9,F35)</f>
        <v>6.5362595014900479E-2</v>
      </c>
    </row>
    <row r="35" spans="1:15" ht="25.5" x14ac:dyDescent="0.25">
      <c r="A35" s="52">
        <f>A34+0.1</f>
        <v>2.1</v>
      </c>
      <c r="B35" s="38" t="s">
        <v>92</v>
      </c>
      <c r="C35" s="53">
        <v>20000</v>
      </c>
      <c r="D35" s="54">
        <v>10</v>
      </c>
      <c r="E35" s="54">
        <v>100</v>
      </c>
      <c r="F35" s="55">
        <f>$C35*((1+$F$29)^$E35-1)/(((1+$F$29)^D35-1)*(1+$F$29)^$E35)/1000000</f>
        <v>6.5362595014900479E-2</v>
      </c>
      <c r="G35" s="80"/>
      <c r="H35" s="30"/>
    </row>
    <row r="36" spans="1:15" s="28" customFormat="1" ht="15" x14ac:dyDescent="0.25">
      <c r="A36" s="31">
        <v>3</v>
      </c>
      <c r="B36" s="32" t="s">
        <v>32</v>
      </c>
      <c r="C36" s="56"/>
      <c r="D36" s="57"/>
      <c r="E36" s="57"/>
      <c r="F36" s="35">
        <f>SUBTOTAL(9,F37)</f>
        <v>0.31666056577421287</v>
      </c>
    </row>
    <row r="37" spans="1:15" ht="26.25" customHeight="1" x14ac:dyDescent="0.25">
      <c r="A37" s="52">
        <f>A36+0.1</f>
        <v>3.1</v>
      </c>
      <c r="B37" s="38" t="s">
        <v>102</v>
      </c>
      <c r="C37" s="53">
        <v>705000</v>
      </c>
      <c r="D37" s="54">
        <v>45</v>
      </c>
      <c r="E37" s="54">
        <v>100</v>
      </c>
      <c r="F37" s="55">
        <f>$C37*((1+$F$29)^$E37-1)/(((1+$F$29)^D37-1)*(1+$F$29)^$E37)/1000000</f>
        <v>0.31666056577421287</v>
      </c>
      <c r="G37" s="80"/>
      <c r="H37" s="30"/>
    </row>
    <row r="38" spans="1:15" ht="26.25" customHeight="1" x14ac:dyDescent="0.25">
      <c r="A38" s="52">
        <f>A37+0.1</f>
        <v>3.2</v>
      </c>
      <c r="B38" s="38" t="s">
        <v>103</v>
      </c>
      <c r="C38" s="53">
        <v>705000</v>
      </c>
      <c r="D38" s="54">
        <v>12</v>
      </c>
      <c r="E38" s="54">
        <v>100</v>
      </c>
      <c r="F38" s="55">
        <f>$C38*((1+$F$29)^$E38-1)/(((1+$F$29)^D38-1)*(1+$F$29)^$E38)/1000000</f>
        <v>1.8711061649988201</v>
      </c>
      <c r="G38" s="80"/>
      <c r="H38" s="30"/>
    </row>
    <row r="39" spans="1:15" x14ac:dyDescent="0.25">
      <c r="A39" s="42" t="s">
        <v>14</v>
      </c>
      <c r="B39" s="43"/>
      <c r="C39" s="44"/>
      <c r="D39" s="43"/>
      <c r="E39" s="43"/>
      <c r="F39" s="45">
        <f>SUBTOTAL(9,F31:F38)</f>
        <v>3.8872032829619059</v>
      </c>
      <c r="G39" s="80"/>
      <c r="H39" s="30"/>
    </row>
    <row r="40" spans="1:15" x14ac:dyDescent="0.25">
      <c r="A40" s="39"/>
      <c r="B40" s="36"/>
      <c r="C40" s="40"/>
      <c r="D40" s="36"/>
      <c r="E40" s="36"/>
      <c r="F40" s="41"/>
    </row>
    <row r="41" spans="1:15" s="28" customFormat="1" ht="15" x14ac:dyDescent="0.25">
      <c r="A41" s="73" t="str">
        <f>"Total Estimated Operational Costs (Over " &amp; TEXT(100,"0") &amp; "-Year Period)"</f>
        <v>Total Estimated Operational Costs (Over 100-Year Period)</v>
      </c>
      <c r="B41" s="74"/>
      <c r="C41" s="75"/>
      <c r="D41" s="74"/>
      <c r="E41" s="74"/>
      <c r="F41" s="76">
        <f>SUM(F39:F40)</f>
        <v>3.8872032829619059</v>
      </c>
    </row>
    <row r="42" spans="1:15" s="28" customFormat="1" ht="15" x14ac:dyDescent="0.25">
      <c r="A42" s="73" t="s">
        <v>41</v>
      </c>
      <c r="B42" s="74"/>
      <c r="C42" s="75"/>
      <c r="D42" s="74"/>
      <c r="E42" s="74"/>
      <c r="F42" s="79">
        <f>F41*F29*(1+F29)^100/((1+F29)^100-1)</f>
        <v>0.10616682436681205</v>
      </c>
    </row>
    <row r="44" spans="1:15" s="28" customFormat="1" ht="15.75" x14ac:dyDescent="0.25">
      <c r="A44" s="58" t="str">
        <f>"Total Estimated Lifecycle Costs (Over " &amp; TEXT(100,"0") &amp; "-Year Period)"</f>
        <v>Total Estimated Lifecycle Costs (Over 100-Year Period)</v>
      </c>
      <c r="B44" s="66"/>
      <c r="C44" s="67"/>
      <c r="D44" s="66"/>
      <c r="E44" s="66"/>
      <c r="F44" s="68">
        <f>F27+F41</f>
        <v>27.084828282961904</v>
      </c>
    </row>
    <row r="46" spans="1:15" s="27" customFormat="1" ht="15.75" x14ac:dyDescent="0.25">
      <c r="A46" s="24"/>
      <c r="B46" s="24"/>
      <c r="C46" s="24"/>
      <c r="D46" s="24"/>
      <c r="E46" s="24"/>
      <c r="F46" s="24"/>
      <c r="G46" s="80"/>
      <c r="J46" s="24"/>
      <c r="K46" s="24"/>
      <c r="L46" s="24"/>
      <c r="M46" s="24"/>
      <c r="N46" s="82"/>
      <c r="O46" s="28"/>
    </row>
    <row r="47" spans="1:15" ht="15.75" x14ac:dyDescent="0.25">
      <c r="A47" s="58" t="s">
        <v>59</v>
      </c>
      <c r="B47" s="59"/>
      <c r="C47" s="60"/>
      <c r="D47" s="61"/>
      <c r="E47" s="62" t="s">
        <v>56</v>
      </c>
      <c r="F47" s="63">
        <v>2.5000000000000001E-2</v>
      </c>
      <c r="N47" s="82"/>
    </row>
    <row r="48" spans="1:15" ht="30" x14ac:dyDescent="0.25">
      <c r="A48" s="46" t="s">
        <v>1</v>
      </c>
      <c r="B48" s="47" t="s">
        <v>2</v>
      </c>
      <c r="C48" s="49" t="s">
        <v>22</v>
      </c>
      <c r="D48" s="49" t="s">
        <v>17</v>
      </c>
      <c r="E48" s="49" t="s">
        <v>21</v>
      </c>
      <c r="F48" s="50" t="s">
        <v>0</v>
      </c>
      <c r="N48" s="82"/>
      <c r="O48" s="82"/>
    </row>
    <row r="49" spans="1:15" ht="15" x14ac:dyDescent="0.25">
      <c r="A49" s="31">
        <v>1</v>
      </c>
      <c r="B49" s="93" t="s">
        <v>98</v>
      </c>
      <c r="C49" s="94">
        <v>40000</v>
      </c>
      <c r="D49" s="57">
        <v>4</v>
      </c>
      <c r="E49" s="57">
        <v>100</v>
      </c>
      <c r="F49" s="35">
        <f>$C49*((1+$F$29)^$E49-1)/(((1+$F$29)^D49-1)*(1+$F$29)^$E49)/1000000</f>
        <v>0.35269324497223581</v>
      </c>
      <c r="N49" s="82"/>
      <c r="O49" s="28"/>
    </row>
    <row r="50" spans="1:15" ht="25.5" x14ac:dyDescent="0.25">
      <c r="A50" s="31">
        <v>2</v>
      </c>
      <c r="B50" s="93" t="s">
        <v>104</v>
      </c>
      <c r="C50" s="94">
        <v>4318000</v>
      </c>
      <c r="D50" s="57">
        <v>20</v>
      </c>
      <c r="E50" s="57">
        <v>100</v>
      </c>
      <c r="F50" s="35">
        <f t="shared" ref="F50:F51" si="0">$C50*((1+$F$29)^$E50-1)/(((1+$F$29)^D50-1)*(1+$F$29)^$E50)/1000000</f>
        <v>6.1891495644916423</v>
      </c>
      <c r="N50" s="82"/>
      <c r="O50" s="82"/>
    </row>
    <row r="51" spans="1:15" ht="25.5" x14ac:dyDescent="0.25">
      <c r="A51" s="31">
        <v>3</v>
      </c>
      <c r="B51" s="95" t="s">
        <v>105</v>
      </c>
      <c r="C51" s="96">
        <f>1789000</f>
        <v>1789000</v>
      </c>
      <c r="D51" s="97">
        <v>50</v>
      </c>
      <c r="E51" s="57">
        <v>100</v>
      </c>
      <c r="F51" s="35">
        <f t="shared" si="0"/>
        <v>0.67192975213392203</v>
      </c>
      <c r="M51" s="82"/>
      <c r="N51" s="82"/>
      <c r="O51" s="28"/>
    </row>
    <row r="52" spans="1:15" x14ac:dyDescent="0.25">
      <c r="A52" s="42" t="s">
        <v>14</v>
      </c>
      <c r="B52" s="43"/>
      <c r="C52" s="44"/>
      <c r="D52" s="43"/>
      <c r="E52" s="43"/>
      <c r="F52" s="45">
        <f>SUBTOTAL(9,F49:F51)</f>
        <v>7.2137725615977999</v>
      </c>
      <c r="L52" s="82"/>
      <c r="N52" s="82"/>
      <c r="O52" s="82"/>
    </row>
    <row r="53" spans="1:15" ht="15" x14ac:dyDescent="0.25">
      <c r="A53" s="39"/>
      <c r="B53" s="36"/>
      <c r="C53" s="40"/>
      <c r="D53" s="36"/>
      <c r="E53" s="36"/>
      <c r="F53" s="41"/>
      <c r="N53" s="82"/>
      <c r="O53" s="28"/>
    </row>
    <row r="54" spans="1:15" ht="15" x14ac:dyDescent="0.25">
      <c r="A54" s="73" t="str">
        <f>"Total Estimated Cost (Over " &amp; TEXT(100,"0") &amp; "-Year Period)"</f>
        <v>Total Estimated Cost (Over 100-Year Period)</v>
      </c>
      <c r="B54" s="74"/>
      <c r="C54" s="75"/>
      <c r="D54" s="74"/>
      <c r="E54" s="74"/>
      <c r="F54" s="76">
        <f>SUM(F52:F53)</f>
        <v>7.2137725615977999</v>
      </c>
      <c r="N54" s="82"/>
      <c r="O54" s="82"/>
    </row>
    <row r="55" spans="1:15" ht="15" x14ac:dyDescent="0.25">
      <c r="A55" s="73" t="s">
        <v>94</v>
      </c>
      <c r="B55" s="74"/>
      <c r="C55" s="75"/>
      <c r="D55" s="74"/>
      <c r="E55" s="74"/>
      <c r="F55" s="79">
        <f>F54*F47*(1+F47)^100/((1+F47)^100-1)</f>
        <v>0.19702168083829194</v>
      </c>
      <c r="N55" s="82"/>
    </row>
    <row r="56" spans="1:15" x14ac:dyDescent="0.25">
      <c r="A56" s="111" t="s">
        <v>95</v>
      </c>
      <c r="B56" s="111"/>
      <c r="C56" s="111"/>
      <c r="D56" s="111"/>
      <c r="E56" s="111"/>
      <c r="F56" s="111"/>
      <c r="M56" s="82"/>
      <c r="N56" s="82"/>
      <c r="O56" s="82"/>
    </row>
    <row r="57" spans="1:15" ht="15" x14ac:dyDescent="0.25">
      <c r="A57" s="112"/>
      <c r="B57" s="112"/>
      <c r="C57" s="112"/>
      <c r="D57" s="112"/>
      <c r="E57" s="112"/>
      <c r="F57" s="112"/>
      <c r="N57" s="82"/>
      <c r="O57" s="28"/>
    </row>
    <row r="58" spans="1:15" x14ac:dyDescent="0.25">
      <c r="N58" s="82"/>
      <c r="O58" s="82"/>
    </row>
    <row r="59" spans="1:15" ht="15" x14ac:dyDescent="0.25">
      <c r="L59" s="82"/>
      <c r="N59" s="82"/>
      <c r="O59" s="28"/>
    </row>
    <row r="60" spans="1:15" ht="15" x14ac:dyDescent="0.25">
      <c r="M60" s="81"/>
      <c r="N60" s="82"/>
      <c r="O60" s="82"/>
    </row>
    <row r="61" spans="1:15" ht="15" x14ac:dyDescent="0.25">
      <c r="M61" s="82"/>
      <c r="N61" s="82"/>
      <c r="O61" s="28"/>
    </row>
    <row r="62" spans="1:15" x14ac:dyDescent="0.25">
      <c r="N62" s="82"/>
      <c r="O62" s="82"/>
    </row>
    <row r="63" spans="1:15" x14ac:dyDescent="0.25">
      <c r="N63" s="82"/>
    </row>
    <row r="64" spans="1:15" x14ac:dyDescent="0.25">
      <c r="N64" s="82"/>
      <c r="O64" s="82"/>
    </row>
    <row r="65" spans="12:15" ht="15" x14ac:dyDescent="0.25">
      <c r="L65" s="82"/>
      <c r="N65" s="82"/>
      <c r="O65" s="28"/>
    </row>
    <row r="66" spans="12:15" x14ac:dyDescent="0.25">
      <c r="M66" s="82"/>
      <c r="N66" s="82"/>
      <c r="O66" s="82"/>
    </row>
    <row r="67" spans="12:15" ht="15" x14ac:dyDescent="0.25">
      <c r="N67" s="82"/>
      <c r="O67" s="28"/>
    </row>
    <row r="68" spans="12:15" x14ac:dyDescent="0.25">
      <c r="N68" s="82"/>
      <c r="O68" s="82"/>
    </row>
    <row r="69" spans="12:15" ht="15" x14ac:dyDescent="0.25">
      <c r="N69" s="82"/>
      <c r="O69" s="28"/>
    </row>
    <row r="70" spans="12:15" x14ac:dyDescent="0.25">
      <c r="N70" s="82"/>
      <c r="O70" s="82"/>
    </row>
    <row r="71" spans="12:15" x14ac:dyDescent="0.25">
      <c r="L71" s="82"/>
      <c r="M71" s="82"/>
      <c r="N71" s="82"/>
    </row>
    <row r="72" spans="12:15" x14ac:dyDescent="0.25">
      <c r="N72" s="82"/>
      <c r="O72" s="82"/>
    </row>
    <row r="73" spans="12:15" ht="15" x14ac:dyDescent="0.25">
      <c r="N73" s="82"/>
      <c r="O73" s="28"/>
    </row>
    <row r="74" spans="12:15" x14ac:dyDescent="0.25">
      <c r="N74" s="82"/>
      <c r="O74" s="82"/>
    </row>
    <row r="75" spans="12:15" ht="15" x14ac:dyDescent="0.25">
      <c r="N75" s="82"/>
      <c r="O75" s="28"/>
    </row>
    <row r="76" spans="12:15" x14ac:dyDescent="0.25">
      <c r="M76" s="82"/>
      <c r="N76" s="82"/>
      <c r="O76" s="82"/>
    </row>
    <row r="77" spans="12:15" ht="15" x14ac:dyDescent="0.25">
      <c r="L77" s="82"/>
      <c r="N77" s="82"/>
      <c r="O77" s="28"/>
    </row>
    <row r="78" spans="12:15" x14ac:dyDescent="0.25">
      <c r="N78" s="82"/>
      <c r="O78" s="82"/>
    </row>
    <row r="79" spans="12:15" x14ac:dyDescent="0.25">
      <c r="N79" s="82"/>
    </row>
    <row r="80" spans="12:15" x14ac:dyDescent="0.25">
      <c r="N80" s="82"/>
      <c r="O80" s="82"/>
    </row>
    <row r="81" spans="12:15" ht="15" x14ac:dyDescent="0.25">
      <c r="M81" s="82"/>
      <c r="N81" s="82"/>
      <c r="O81" s="28"/>
    </row>
    <row r="82" spans="12:15" x14ac:dyDescent="0.25">
      <c r="N82" s="82"/>
      <c r="O82" s="82"/>
    </row>
    <row r="83" spans="12:15" ht="15" x14ac:dyDescent="0.25">
      <c r="N83" s="82"/>
      <c r="O83" s="28"/>
    </row>
    <row r="84" spans="12:15" x14ac:dyDescent="0.25">
      <c r="L84" s="82"/>
      <c r="N84" s="82"/>
      <c r="O84" s="82"/>
    </row>
    <row r="85" spans="12:15" ht="15" x14ac:dyDescent="0.25">
      <c r="N85" s="82"/>
      <c r="O85" s="28"/>
    </row>
    <row r="86" spans="12:15" x14ac:dyDescent="0.25">
      <c r="M86" s="82"/>
      <c r="N86" s="82"/>
      <c r="O86" s="82"/>
    </row>
    <row r="87" spans="12:15" x14ac:dyDescent="0.25">
      <c r="N87" s="82"/>
    </row>
    <row r="88" spans="12:15" x14ac:dyDescent="0.25">
      <c r="N88" s="82"/>
      <c r="O88" s="82"/>
    </row>
    <row r="89" spans="12:15" ht="15" x14ac:dyDescent="0.25">
      <c r="N89" s="82"/>
      <c r="O89" s="28"/>
    </row>
    <row r="90" spans="12:15" x14ac:dyDescent="0.25">
      <c r="L90" s="82"/>
      <c r="N90" s="82"/>
      <c r="O90" s="82"/>
    </row>
    <row r="91" spans="12:15" ht="15" x14ac:dyDescent="0.25">
      <c r="M91" s="82"/>
      <c r="N91" s="82"/>
      <c r="O91" s="28"/>
    </row>
    <row r="92" spans="12:15" x14ac:dyDescent="0.25">
      <c r="N92" s="82"/>
      <c r="O92" s="82"/>
    </row>
    <row r="93" spans="12:15" ht="15" x14ac:dyDescent="0.25">
      <c r="N93" s="82"/>
      <c r="O93" s="28"/>
    </row>
    <row r="94" spans="12:15" x14ac:dyDescent="0.25">
      <c r="N94" s="82"/>
      <c r="O94" s="82"/>
    </row>
    <row r="95" spans="12:15" x14ac:dyDescent="0.25">
      <c r="N95" s="82"/>
    </row>
    <row r="96" spans="12:15" x14ac:dyDescent="0.25">
      <c r="L96" s="82"/>
      <c r="M96" s="82"/>
      <c r="N96" s="82"/>
      <c r="O96" s="82"/>
    </row>
    <row r="97" spans="12:15" ht="15" x14ac:dyDescent="0.25">
      <c r="N97" s="82"/>
      <c r="O97" s="28"/>
    </row>
    <row r="98" spans="12:15" x14ac:dyDescent="0.25">
      <c r="N98" s="82"/>
      <c r="O98" s="82"/>
    </row>
    <row r="99" spans="12:15" ht="15" x14ac:dyDescent="0.25">
      <c r="N99" s="82"/>
      <c r="O99" s="28"/>
    </row>
    <row r="100" spans="12:15" x14ac:dyDescent="0.25">
      <c r="N100" s="82"/>
      <c r="O100" s="82"/>
    </row>
    <row r="101" spans="12:15" ht="15" x14ac:dyDescent="0.25">
      <c r="M101" s="82"/>
      <c r="N101" s="82"/>
      <c r="O101" s="28"/>
    </row>
    <row r="102" spans="12:15" x14ac:dyDescent="0.25">
      <c r="L102" s="82"/>
      <c r="N102" s="82"/>
      <c r="O102" s="82"/>
    </row>
    <row r="103" spans="12:15" x14ac:dyDescent="0.25">
      <c r="N103" s="82"/>
    </row>
    <row r="104" spans="12:15" x14ac:dyDescent="0.25">
      <c r="N104" s="82"/>
      <c r="O104" s="82"/>
    </row>
    <row r="105" spans="12:15" ht="15" x14ac:dyDescent="0.25">
      <c r="N105" s="82"/>
      <c r="O105" s="28"/>
    </row>
    <row r="106" spans="12:15" x14ac:dyDescent="0.25">
      <c r="M106" s="82"/>
      <c r="N106" s="82"/>
      <c r="O106" s="82"/>
    </row>
    <row r="107" spans="12:15" ht="15" x14ac:dyDescent="0.25">
      <c r="N107" s="82"/>
      <c r="O107" s="28"/>
    </row>
    <row r="108" spans="12:15" x14ac:dyDescent="0.25">
      <c r="N108" s="82"/>
      <c r="O108" s="82"/>
    </row>
    <row r="109" spans="12:15" ht="15" x14ac:dyDescent="0.25">
      <c r="L109" s="82"/>
      <c r="N109" s="82"/>
      <c r="O109" s="28"/>
    </row>
    <row r="110" spans="12:15" x14ac:dyDescent="0.25">
      <c r="N110" s="82"/>
      <c r="O110" s="82"/>
    </row>
    <row r="111" spans="12:15" x14ac:dyDescent="0.25">
      <c r="M111" s="82"/>
      <c r="N111" s="82"/>
    </row>
    <row r="112" spans="12:15" x14ac:dyDescent="0.25">
      <c r="N112" s="82"/>
      <c r="O112" s="82"/>
    </row>
    <row r="113" spans="12:15" ht="15" x14ac:dyDescent="0.25">
      <c r="N113" s="82"/>
      <c r="O113" s="28"/>
    </row>
    <row r="114" spans="12:15" x14ac:dyDescent="0.25">
      <c r="N114" s="82"/>
      <c r="O114" s="82"/>
    </row>
    <row r="115" spans="12:15" ht="15" x14ac:dyDescent="0.25">
      <c r="L115" s="82"/>
      <c r="N115" s="82"/>
      <c r="O115" s="28"/>
    </row>
    <row r="116" spans="12:15" x14ac:dyDescent="0.25">
      <c r="M116" s="82"/>
      <c r="N116" s="82"/>
      <c r="O116" s="82"/>
    </row>
    <row r="117" spans="12:15" ht="15" x14ac:dyDescent="0.25">
      <c r="N117" s="82"/>
      <c r="O117" s="28"/>
    </row>
    <row r="118" spans="12:15" x14ac:dyDescent="0.25">
      <c r="N118" s="82"/>
      <c r="O118" s="82"/>
    </row>
    <row r="119" spans="12:15" x14ac:dyDescent="0.25">
      <c r="N119" s="82"/>
    </row>
    <row r="120" spans="12:15" x14ac:dyDescent="0.25">
      <c r="N120" s="82"/>
      <c r="O120" s="82"/>
    </row>
    <row r="121" spans="12:15" ht="15" x14ac:dyDescent="0.25">
      <c r="L121" s="82"/>
      <c r="M121" s="82"/>
      <c r="N121" s="82"/>
      <c r="O121" s="28"/>
    </row>
    <row r="122" spans="12:15" x14ac:dyDescent="0.25">
      <c r="N122" s="82"/>
      <c r="O122" s="82"/>
    </row>
    <row r="123" spans="12:15" ht="15" x14ac:dyDescent="0.25">
      <c r="N123" s="82"/>
      <c r="O123" s="28"/>
    </row>
    <row r="124" spans="12:15" x14ac:dyDescent="0.25">
      <c r="N124" s="82"/>
      <c r="O124" s="82"/>
    </row>
    <row r="125" spans="12:15" ht="15" x14ac:dyDescent="0.25">
      <c r="N125" s="82"/>
      <c r="O125" s="28"/>
    </row>
    <row r="126" spans="12:15" x14ac:dyDescent="0.25">
      <c r="M126" s="82"/>
      <c r="N126" s="82"/>
      <c r="O126" s="82"/>
    </row>
    <row r="127" spans="12:15" x14ac:dyDescent="0.25">
      <c r="L127" s="82"/>
      <c r="N127" s="82"/>
    </row>
    <row r="128" spans="12:15" x14ac:dyDescent="0.25">
      <c r="N128" s="82"/>
      <c r="O128" s="82"/>
    </row>
    <row r="129" spans="12:15" ht="15" x14ac:dyDescent="0.25">
      <c r="N129" s="82"/>
      <c r="O129" s="28"/>
    </row>
    <row r="130" spans="12:15" x14ac:dyDescent="0.25">
      <c r="N130" s="82"/>
      <c r="O130" s="82"/>
    </row>
    <row r="131" spans="12:15" ht="15" x14ac:dyDescent="0.25">
      <c r="M131" s="82"/>
      <c r="N131" s="82"/>
      <c r="O131" s="28"/>
    </row>
    <row r="132" spans="12:15" x14ac:dyDescent="0.25">
      <c r="N132" s="82"/>
      <c r="O132" s="82"/>
    </row>
    <row r="133" spans="12:15" ht="15" x14ac:dyDescent="0.25">
      <c r="N133" s="82"/>
      <c r="O133" s="28"/>
    </row>
    <row r="134" spans="12:15" x14ac:dyDescent="0.25">
      <c r="L134" s="82"/>
      <c r="N134" s="82"/>
      <c r="O134" s="82"/>
    </row>
    <row r="135" spans="12:15" x14ac:dyDescent="0.25">
      <c r="N135" s="82"/>
    </row>
    <row r="136" spans="12:15" x14ac:dyDescent="0.25">
      <c r="M136" s="82"/>
      <c r="N136" s="82"/>
      <c r="O136" s="82"/>
    </row>
    <row r="137" spans="12:15" ht="15" x14ac:dyDescent="0.25">
      <c r="N137" s="82"/>
      <c r="O137" s="28"/>
    </row>
    <row r="138" spans="12:15" x14ac:dyDescent="0.25">
      <c r="N138" s="82"/>
      <c r="O138" s="82"/>
    </row>
    <row r="139" spans="12:15" ht="15" x14ac:dyDescent="0.25">
      <c r="N139" s="82"/>
      <c r="O139" s="28"/>
    </row>
    <row r="140" spans="12:15" x14ac:dyDescent="0.25">
      <c r="L140" s="82"/>
      <c r="N140" s="82"/>
      <c r="O140" s="82"/>
    </row>
    <row r="141" spans="12:15" ht="15" x14ac:dyDescent="0.25">
      <c r="M141" s="82"/>
      <c r="N141" s="82"/>
      <c r="O141" s="28"/>
    </row>
    <row r="142" spans="12:15" x14ac:dyDescent="0.25">
      <c r="N142" s="82"/>
      <c r="O142" s="82"/>
    </row>
    <row r="143" spans="12:15" ht="15" x14ac:dyDescent="0.25">
      <c r="N143" s="82"/>
      <c r="O143" s="28"/>
    </row>
    <row r="144" spans="12:15" x14ac:dyDescent="0.25">
      <c r="N144" s="82"/>
      <c r="O144" s="82"/>
    </row>
    <row r="145" spans="12:15" ht="15" x14ac:dyDescent="0.25">
      <c r="N145" s="82"/>
      <c r="O145" s="28"/>
    </row>
    <row r="146" spans="12:15" x14ac:dyDescent="0.25">
      <c r="L146" s="82"/>
      <c r="M146" s="82"/>
      <c r="N146" s="82"/>
      <c r="O146" s="82"/>
    </row>
    <row r="147" spans="12:15" x14ac:dyDescent="0.25">
      <c r="L147" s="78"/>
      <c r="M147" s="78"/>
      <c r="N147" s="78"/>
      <c r="O147" s="78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22" zoomScale="85" zoomScaleNormal="85" workbookViewId="0">
      <selection activeCell="F45" sqref="F45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6384" width="9.140625" style="24"/>
  </cols>
  <sheetData>
    <row r="1" spans="1:7" x14ac:dyDescent="0.2">
      <c r="C1" s="69" t="s">
        <v>33</v>
      </c>
      <c r="D1" s="70"/>
      <c r="E1" s="69" t="s">
        <v>70</v>
      </c>
      <c r="F1" s="71"/>
      <c r="G1" s="70"/>
    </row>
    <row r="2" spans="1:7" x14ac:dyDescent="0.2">
      <c r="C2" s="69" t="s">
        <v>34</v>
      </c>
      <c r="D2" s="70"/>
      <c r="E2" s="72" t="s">
        <v>42</v>
      </c>
      <c r="F2" s="71"/>
      <c r="G2" s="70"/>
    </row>
    <row r="3" spans="1:7" x14ac:dyDescent="0.2">
      <c r="C3" s="69" t="s">
        <v>35</v>
      </c>
      <c r="D3" s="70"/>
      <c r="E3" s="72" t="s">
        <v>58</v>
      </c>
      <c r="F3" s="71"/>
      <c r="G3" s="70"/>
    </row>
    <row r="4" spans="1:7" x14ac:dyDescent="0.2">
      <c r="C4" s="69" t="s">
        <v>36</v>
      </c>
      <c r="D4" s="70"/>
      <c r="E4" s="72" t="s">
        <v>57</v>
      </c>
      <c r="F4" s="71"/>
      <c r="G4" s="70"/>
    </row>
    <row r="5" spans="1:7" x14ac:dyDescent="0.2">
      <c r="C5" s="69" t="s">
        <v>37</v>
      </c>
      <c r="D5" s="70"/>
      <c r="E5" s="70" t="s">
        <v>39</v>
      </c>
      <c r="F5" s="71"/>
      <c r="G5" s="70"/>
    </row>
    <row r="6" spans="1:7" x14ac:dyDescent="0.2">
      <c r="C6" s="69" t="s">
        <v>38</v>
      </c>
      <c r="D6" s="70"/>
      <c r="E6" s="110">
        <v>41726</v>
      </c>
      <c r="F6" s="110"/>
      <c r="G6" s="70"/>
    </row>
    <row r="7" spans="1:7" ht="15" x14ac:dyDescent="0.25">
      <c r="C7" s="69" t="s">
        <v>99</v>
      </c>
      <c r="E7" s="113">
        <v>0</v>
      </c>
      <c r="F7" s="113"/>
    </row>
    <row r="8" spans="1:7" ht="18" x14ac:dyDescent="0.25">
      <c r="A8" s="26" t="s">
        <v>40</v>
      </c>
    </row>
    <row r="9" spans="1:7" ht="15.75" x14ac:dyDescent="0.25">
      <c r="A9" s="58" t="s">
        <v>23</v>
      </c>
      <c r="B9" s="59"/>
      <c r="C9" s="64"/>
      <c r="D9" s="59"/>
      <c r="E9" s="59"/>
      <c r="F9" s="65"/>
    </row>
    <row r="10" spans="1:7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</row>
    <row r="11" spans="1:7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0.96799999999999997</v>
      </c>
    </row>
    <row r="12" spans="1:7" x14ac:dyDescent="0.25">
      <c r="A12" s="31">
        <v>2</v>
      </c>
      <c r="B12" s="32" t="s">
        <v>43</v>
      </c>
      <c r="C12" s="33"/>
      <c r="D12" s="37"/>
      <c r="E12" s="34"/>
      <c r="F12" s="35">
        <v>1.1020000000000001</v>
      </c>
    </row>
    <row r="13" spans="1:7" x14ac:dyDescent="0.25">
      <c r="A13" s="31">
        <v>3</v>
      </c>
      <c r="B13" s="32" t="s">
        <v>64</v>
      </c>
      <c r="C13" s="33"/>
      <c r="D13" s="37"/>
      <c r="E13" s="34"/>
      <c r="F13" s="35">
        <v>6.9349999999999996</v>
      </c>
    </row>
    <row r="14" spans="1:7" s="28" customFormat="1" ht="15" x14ac:dyDescent="0.25">
      <c r="A14" s="31">
        <v>4</v>
      </c>
      <c r="B14" s="32" t="s">
        <v>68</v>
      </c>
      <c r="C14" s="33"/>
      <c r="D14" s="37"/>
      <c r="E14" s="34"/>
      <c r="F14" s="35">
        <v>5.2640000000000002</v>
      </c>
    </row>
    <row r="15" spans="1:7" x14ac:dyDescent="0.25">
      <c r="A15" s="31">
        <v>5</v>
      </c>
      <c r="B15" s="32" t="s">
        <v>69</v>
      </c>
      <c r="C15" s="33"/>
      <c r="D15" s="37"/>
      <c r="E15" s="34"/>
      <c r="F15" s="35">
        <v>1.024</v>
      </c>
    </row>
    <row r="16" spans="1:7" s="28" customFormat="1" ht="15" x14ac:dyDescent="0.25">
      <c r="A16" s="31">
        <v>6</v>
      </c>
      <c r="B16" s="32" t="s">
        <v>65</v>
      </c>
      <c r="C16" s="33"/>
      <c r="D16" s="32"/>
      <c r="E16" s="34"/>
      <c r="F16" s="35">
        <v>0.14499999999999999</v>
      </c>
    </row>
    <row r="17" spans="1:9" x14ac:dyDescent="0.25">
      <c r="A17" s="31">
        <v>7</v>
      </c>
      <c r="B17" s="32" t="s">
        <v>28</v>
      </c>
      <c r="C17" s="33"/>
      <c r="D17" s="37"/>
      <c r="E17" s="34"/>
      <c r="F17" s="35">
        <v>0.56899999999999995</v>
      </c>
    </row>
    <row r="18" spans="1:9" s="28" customFormat="1" ht="15" x14ac:dyDescent="0.25">
      <c r="A18" s="31">
        <v>8</v>
      </c>
      <c r="B18" s="32" t="s">
        <v>29</v>
      </c>
      <c r="C18" s="33"/>
      <c r="D18" s="32"/>
      <c r="E18" s="34"/>
      <c r="F18" s="35">
        <v>2.0249999999999999</v>
      </c>
    </row>
    <row r="19" spans="1:9" x14ac:dyDescent="0.25">
      <c r="A19" s="31">
        <v>9</v>
      </c>
      <c r="B19" s="32" t="s">
        <v>66</v>
      </c>
      <c r="C19" s="33"/>
      <c r="D19" s="37"/>
      <c r="E19" s="34"/>
      <c r="F19" s="35">
        <v>0.84299999999999997</v>
      </c>
    </row>
    <row r="20" spans="1:9" x14ac:dyDescent="0.25">
      <c r="A20" s="31">
        <v>10</v>
      </c>
      <c r="B20" s="32" t="s">
        <v>30</v>
      </c>
      <c r="C20" s="33"/>
      <c r="D20" s="37"/>
      <c r="E20" s="34"/>
      <c r="F20" s="35">
        <v>3.4000000000000002E-2</v>
      </c>
    </row>
    <row r="21" spans="1:9" s="28" customFormat="1" ht="15" x14ac:dyDescent="0.25">
      <c r="A21" s="31">
        <v>11</v>
      </c>
      <c r="B21" s="32" t="s">
        <v>13</v>
      </c>
      <c r="C21" s="33"/>
      <c r="D21" s="33"/>
      <c r="E21" s="34"/>
      <c r="F21" s="35">
        <v>10.42</v>
      </c>
    </row>
    <row r="22" spans="1:9" x14ac:dyDescent="0.25">
      <c r="A22" s="39" t="s">
        <v>108</v>
      </c>
      <c r="B22" s="36"/>
      <c r="C22" s="40"/>
      <c r="D22" s="36"/>
      <c r="E22" s="36"/>
      <c r="F22" s="41"/>
    </row>
    <row r="23" spans="1:9" s="27" customFormat="1" ht="15" customHeight="1" x14ac:dyDescent="0.25">
      <c r="A23" s="42" t="s">
        <v>14</v>
      </c>
      <c r="B23" s="43"/>
      <c r="C23" s="44"/>
      <c r="D23" s="43"/>
      <c r="E23" s="43"/>
      <c r="F23" s="45">
        <f>SUBTOTAL(9,F11:F22)</f>
        <v>29.328999999999994</v>
      </c>
    </row>
    <row r="24" spans="1:9" s="27" customFormat="1" ht="15.75" x14ac:dyDescent="0.25">
      <c r="A24" s="39"/>
      <c r="B24" s="36"/>
      <c r="C24" s="40"/>
      <c r="D24" s="36"/>
      <c r="E24" s="36"/>
      <c r="F24" s="41"/>
    </row>
    <row r="25" spans="1:9" s="27" customFormat="1" ht="15.75" x14ac:dyDescent="0.25">
      <c r="A25" s="31"/>
      <c r="B25" s="32" t="s">
        <v>31</v>
      </c>
      <c r="C25" s="33"/>
      <c r="D25" s="33"/>
      <c r="E25" s="34"/>
      <c r="F25" s="35">
        <f>F23*0.1</f>
        <v>2.9328999999999996</v>
      </c>
    </row>
    <row r="26" spans="1:9" s="28" customFormat="1" ht="15" x14ac:dyDescent="0.25">
      <c r="A26" s="31"/>
      <c r="B26" s="32" t="s">
        <v>55</v>
      </c>
      <c r="C26" s="33"/>
      <c r="D26" s="32"/>
      <c r="E26" s="32"/>
      <c r="F26" s="35">
        <f>SUM(F23:F25)*0.25</f>
        <v>8.0654749999999975</v>
      </c>
    </row>
    <row r="27" spans="1:9" s="28" customFormat="1" ht="15" x14ac:dyDescent="0.25">
      <c r="A27" s="39"/>
      <c r="B27" s="36"/>
      <c r="C27" s="40"/>
      <c r="D27" s="36"/>
      <c r="E27" s="36"/>
      <c r="F27" s="41"/>
    </row>
    <row r="28" spans="1:9" ht="15" x14ac:dyDescent="0.25">
      <c r="A28" s="73" t="s">
        <v>24</v>
      </c>
      <c r="B28" s="74"/>
      <c r="C28" s="75"/>
      <c r="D28" s="74"/>
      <c r="E28" s="74"/>
      <c r="F28" s="76">
        <f>SUM(F23:F27)</f>
        <v>40.327374999999989</v>
      </c>
    </row>
    <row r="29" spans="1:9" x14ac:dyDescent="0.25">
      <c r="E29" s="29"/>
    </row>
    <row r="30" spans="1:9" ht="15.75" x14ac:dyDescent="0.25">
      <c r="A30" s="58" t="s">
        <v>15</v>
      </c>
      <c r="B30" s="59"/>
      <c r="C30" s="60"/>
      <c r="D30" s="61"/>
      <c r="E30" s="62" t="s">
        <v>56</v>
      </c>
      <c r="F30" s="63">
        <v>2.5000000000000001E-2</v>
      </c>
    </row>
    <row r="31" spans="1:9" s="27" customFormat="1" ht="30" x14ac:dyDescent="0.25">
      <c r="A31" s="46" t="s">
        <v>1</v>
      </c>
      <c r="B31" s="47" t="s">
        <v>2</v>
      </c>
      <c r="C31" s="49" t="s">
        <v>22</v>
      </c>
      <c r="D31" s="49" t="s">
        <v>17</v>
      </c>
      <c r="E31" s="49" t="s">
        <v>21</v>
      </c>
      <c r="F31" s="50" t="s">
        <v>0</v>
      </c>
      <c r="I31" s="28"/>
    </row>
    <row r="32" spans="1:9" s="28" customFormat="1" ht="15" x14ac:dyDescent="0.25">
      <c r="A32" s="31">
        <v>1</v>
      </c>
      <c r="B32" s="32" t="s">
        <v>18</v>
      </c>
      <c r="C32" s="51"/>
      <c r="D32" s="51"/>
      <c r="E32" s="34"/>
      <c r="F32" s="35">
        <f>SUBTOTAL(9,F33:F34)</f>
        <v>1.6340739571739724</v>
      </c>
    </row>
    <row r="33" spans="1:8" x14ac:dyDescent="0.25">
      <c r="A33" s="52">
        <f>A32+0.1</f>
        <v>1.1000000000000001</v>
      </c>
      <c r="B33" s="36" t="s">
        <v>16</v>
      </c>
      <c r="C33" s="53">
        <v>15000</v>
      </c>
      <c r="D33" s="54">
        <v>1</v>
      </c>
      <c r="E33" s="54">
        <v>100</v>
      </c>
      <c r="F33" s="55">
        <f>$C33*((1+$F$30)^$E33-1)/(((1+$F$30)^D33-1)*(1+$F$30)^$E33)/1000000</f>
        <v>0.54921157896718642</v>
      </c>
      <c r="H33" s="30"/>
    </row>
    <row r="34" spans="1:8" x14ac:dyDescent="0.25">
      <c r="A34" s="52">
        <f>A33+0.1</f>
        <v>1.2000000000000002</v>
      </c>
      <c r="B34" s="36" t="s">
        <v>19</v>
      </c>
      <c r="C34" s="53">
        <v>60000</v>
      </c>
      <c r="D34" s="54">
        <v>2</v>
      </c>
      <c r="E34" s="54">
        <v>100</v>
      </c>
      <c r="F34" s="55">
        <f>$C34*((1+$F$30)^$E34-1)/(((1+$F$30)^D34-1)*(1+$F$30)^$E34)/1000000</f>
        <v>1.0848623782067861</v>
      </c>
      <c r="H34" s="30"/>
    </row>
    <row r="35" spans="1:8" s="28" customFormat="1" ht="15" x14ac:dyDescent="0.25">
      <c r="A35" s="31">
        <v>2</v>
      </c>
      <c r="B35" s="32" t="s">
        <v>20</v>
      </c>
      <c r="C35" s="56"/>
      <c r="D35" s="57"/>
      <c r="E35" s="57"/>
      <c r="F35" s="35">
        <f>SUBTOTAL(9,F36:F37)</f>
        <v>1.2451574350338541</v>
      </c>
    </row>
    <row r="36" spans="1:8" ht="25.5" x14ac:dyDescent="0.25">
      <c r="A36" s="52">
        <f>A35+0.1</f>
        <v>2.1</v>
      </c>
      <c r="B36" s="38" t="s">
        <v>92</v>
      </c>
      <c r="C36" s="53">
        <v>20000</v>
      </c>
      <c r="D36" s="54">
        <v>10</v>
      </c>
      <c r="E36" s="54">
        <v>100</v>
      </c>
      <c r="F36" s="55">
        <f>$C36*((1+$F$30)^$E36-1)/(((1+$F$30)^D36-1)*(1+$F$30)^$E36)/1000000</f>
        <v>6.5362595014900479E-2</v>
      </c>
      <c r="G36" s="80"/>
      <c r="H36" s="30"/>
    </row>
    <row r="37" spans="1:8" ht="25.5" x14ac:dyDescent="0.25">
      <c r="A37" s="52">
        <f>A36+0.1</f>
        <v>2.2000000000000002</v>
      </c>
      <c r="B37" s="38" t="s">
        <v>101</v>
      </c>
      <c r="C37" s="53">
        <v>361000</v>
      </c>
      <c r="D37" s="54">
        <v>10</v>
      </c>
      <c r="E37" s="54">
        <v>100</v>
      </c>
      <c r="F37" s="55">
        <f>$C37*((1+$F$30)^$E37-1)/(((1+$F$30)^D37-1)*(1+$F$30)^$E37)/1000000</f>
        <v>1.1797948400189537</v>
      </c>
      <c r="G37" s="80"/>
      <c r="H37" s="30"/>
    </row>
    <row r="38" spans="1:8" s="28" customFormat="1" ht="15" x14ac:dyDescent="0.25">
      <c r="A38" s="31">
        <v>3</v>
      </c>
      <c r="B38" s="32" t="s">
        <v>32</v>
      </c>
      <c r="C38" s="56"/>
      <c r="D38" s="57"/>
      <c r="E38" s="57"/>
      <c r="F38" s="35">
        <f>SUBTOTAL(9,F39)</f>
        <v>0.31666056577421287</v>
      </c>
    </row>
    <row r="39" spans="1:8" ht="26.25" customHeight="1" x14ac:dyDescent="0.25">
      <c r="A39" s="52">
        <f>A38+0.1</f>
        <v>3.1</v>
      </c>
      <c r="B39" s="38" t="s">
        <v>102</v>
      </c>
      <c r="C39" s="53">
        <v>705000</v>
      </c>
      <c r="D39" s="54">
        <v>45</v>
      </c>
      <c r="E39" s="54">
        <v>100</v>
      </c>
      <c r="F39" s="55">
        <f>$C39*((1+$F$30)^$E39-1)/(((1+$F$30)^D39-1)*(1+$F$30)^$E39)/1000000</f>
        <v>0.31666056577421287</v>
      </c>
      <c r="G39" s="80"/>
      <c r="H39" s="30"/>
    </row>
    <row r="40" spans="1:8" ht="26.25" customHeight="1" x14ac:dyDescent="0.25">
      <c r="A40" s="52">
        <f>A39+0.1</f>
        <v>3.2</v>
      </c>
      <c r="B40" s="38" t="s">
        <v>103</v>
      </c>
      <c r="C40" s="53">
        <v>705000</v>
      </c>
      <c r="D40" s="54">
        <v>12</v>
      </c>
      <c r="E40" s="54">
        <v>100</v>
      </c>
      <c r="F40" s="55">
        <f>$C40*((1+$F$30)^$E40-1)/(((1+$F$30)^D40-1)*(1+$F$30)^$E40)/1000000</f>
        <v>1.8711061649988201</v>
      </c>
      <c r="G40" s="80"/>
      <c r="H40" s="30"/>
    </row>
    <row r="41" spans="1:8" x14ac:dyDescent="0.25">
      <c r="A41" s="42" t="s">
        <v>14</v>
      </c>
      <c r="B41" s="43"/>
      <c r="C41" s="44"/>
      <c r="D41" s="43"/>
      <c r="E41" s="43"/>
      <c r="F41" s="45">
        <f>SUBTOTAL(9,F32:F40)</f>
        <v>5.0669981229808592</v>
      </c>
      <c r="G41" s="80"/>
      <c r="H41" s="30"/>
    </row>
    <row r="42" spans="1:8" x14ac:dyDescent="0.25">
      <c r="A42" s="39"/>
      <c r="B42" s="36"/>
      <c r="C42" s="40"/>
      <c r="D42" s="36"/>
      <c r="E42" s="36"/>
      <c r="F42" s="41"/>
    </row>
    <row r="43" spans="1:8" s="28" customFormat="1" ht="15" x14ac:dyDescent="0.25">
      <c r="A43" s="73" t="str">
        <f>"Total Estimated Operational Costs (Over " &amp; TEXT(100,"0") &amp; "-Year Period)"</f>
        <v>Total Estimated Operational Costs (Over 100-Year Period)</v>
      </c>
      <c r="B43" s="74"/>
      <c r="C43" s="75"/>
      <c r="D43" s="74"/>
      <c r="E43" s="74"/>
      <c r="F43" s="76">
        <f>SUM(F41:F42)</f>
        <v>5.0669981229808592</v>
      </c>
    </row>
    <row r="44" spans="1:8" s="28" customFormat="1" ht="15" x14ac:dyDescent="0.25">
      <c r="A44" s="73" t="s">
        <v>41</v>
      </c>
      <c r="B44" s="74"/>
      <c r="C44" s="75"/>
      <c r="D44" s="74"/>
      <c r="E44" s="74"/>
      <c r="F44" s="79">
        <f>F43*F30*(1+F30)^100/((1+F30)^100-1)</f>
        <v>0.13838923787375976</v>
      </c>
    </row>
    <row r="46" spans="1:8" s="28" customFormat="1" ht="15.75" x14ac:dyDescent="0.25">
      <c r="A46" s="58" t="str">
        <f>"Total Estimated Lifecycle Costs (Over " &amp; TEXT(100,"0") &amp; "-Year Period)"</f>
        <v>Total Estimated Lifecycle Costs (Over 100-Year Period)</v>
      </c>
      <c r="B46" s="66"/>
      <c r="C46" s="67"/>
      <c r="D46" s="66"/>
      <c r="E46" s="66"/>
      <c r="F46" s="68">
        <f>F28+F43</f>
        <v>45.394373122980852</v>
      </c>
    </row>
    <row r="48" spans="1:8" s="27" customFormat="1" ht="15.75" x14ac:dyDescent="0.25">
      <c r="A48" s="24"/>
      <c r="B48" s="24"/>
      <c r="C48" s="24"/>
      <c r="D48" s="24"/>
      <c r="E48" s="24"/>
      <c r="F48" s="24"/>
      <c r="G48" s="80"/>
    </row>
    <row r="49" spans="1:6" ht="15.75" x14ac:dyDescent="0.25">
      <c r="A49" s="58" t="s">
        <v>59</v>
      </c>
      <c r="B49" s="59"/>
      <c r="C49" s="60"/>
      <c r="D49" s="61"/>
      <c r="E49" s="62" t="s">
        <v>56</v>
      </c>
      <c r="F49" s="63">
        <v>2.5000000000000001E-2</v>
      </c>
    </row>
    <row r="50" spans="1:6" ht="30" x14ac:dyDescent="0.25">
      <c r="A50" s="46" t="s">
        <v>1</v>
      </c>
      <c r="B50" s="47" t="s">
        <v>2</v>
      </c>
      <c r="C50" s="49" t="s">
        <v>22</v>
      </c>
      <c r="D50" s="49" t="s">
        <v>17</v>
      </c>
      <c r="E50" s="49" t="s">
        <v>21</v>
      </c>
      <c r="F50" s="50" t="s">
        <v>0</v>
      </c>
    </row>
    <row r="51" spans="1:6" x14ac:dyDescent="0.25">
      <c r="A51" s="31">
        <v>1</v>
      </c>
      <c r="B51" s="93" t="s">
        <v>93</v>
      </c>
      <c r="C51" s="94">
        <v>40000</v>
      </c>
      <c r="D51" s="57">
        <v>4</v>
      </c>
      <c r="E51" s="57">
        <v>100</v>
      </c>
      <c r="F51" s="35">
        <f>$C51*((1+$F$30)^$E51-1)/(((1+$F$30)^D51-1)*(1+$F$30)^$E51)/1000000</f>
        <v>0.35269324497223581</v>
      </c>
    </row>
    <row r="52" spans="1:6" ht="25.5" x14ac:dyDescent="0.25">
      <c r="A52" s="31">
        <v>2</v>
      </c>
      <c r="B52" s="93" t="s">
        <v>104</v>
      </c>
      <c r="C52" s="94">
        <v>4318000</v>
      </c>
      <c r="D52" s="57">
        <v>20</v>
      </c>
      <c r="E52" s="57">
        <v>100</v>
      </c>
      <c r="F52" s="35">
        <f t="shared" ref="F52:F53" si="0">$C52*((1+$F$30)^$E52-1)/(((1+$F$30)^D52-1)*(1+$F$30)^$E52)/1000000</f>
        <v>6.1891495644916423</v>
      </c>
    </row>
    <row r="53" spans="1:6" ht="25.5" x14ac:dyDescent="0.25">
      <c r="A53" s="31">
        <v>3</v>
      </c>
      <c r="B53" s="95" t="s">
        <v>105</v>
      </c>
      <c r="C53" s="96">
        <f>1789000</f>
        <v>1789000</v>
      </c>
      <c r="D53" s="97">
        <v>50</v>
      </c>
      <c r="E53" s="57">
        <v>100</v>
      </c>
      <c r="F53" s="35">
        <f t="shared" si="0"/>
        <v>0.67192975213392203</v>
      </c>
    </row>
    <row r="54" spans="1:6" x14ac:dyDescent="0.25">
      <c r="A54" s="42" t="s">
        <v>14</v>
      </c>
      <c r="B54" s="43"/>
      <c r="C54" s="44"/>
      <c r="D54" s="43"/>
      <c r="E54" s="43"/>
      <c r="F54" s="45">
        <f>SUBTOTAL(9,F51:F53)</f>
        <v>7.2137725615977999</v>
      </c>
    </row>
    <row r="55" spans="1:6" x14ac:dyDescent="0.25">
      <c r="A55" s="39"/>
      <c r="B55" s="36"/>
      <c r="C55" s="40"/>
      <c r="D55" s="36"/>
      <c r="E55" s="36"/>
      <c r="F55" s="41"/>
    </row>
    <row r="56" spans="1:6" ht="15" x14ac:dyDescent="0.25">
      <c r="A56" s="73" t="str">
        <f>"Total Estimated Cost (Over " &amp; TEXT(100,"0") &amp; "-Year Period)"</f>
        <v>Total Estimated Cost (Over 100-Year Period)</v>
      </c>
      <c r="B56" s="74"/>
      <c r="C56" s="75"/>
      <c r="D56" s="74"/>
      <c r="E56" s="74"/>
      <c r="F56" s="76">
        <f>SUM(F54:F55)</f>
        <v>7.2137725615977999</v>
      </c>
    </row>
    <row r="57" spans="1:6" ht="15" x14ac:dyDescent="0.25">
      <c r="A57" s="73" t="s">
        <v>94</v>
      </c>
      <c r="B57" s="74"/>
      <c r="C57" s="75"/>
      <c r="D57" s="74"/>
      <c r="E57" s="74"/>
      <c r="F57" s="79">
        <f>F56*F49*(1+F49)^100/((1+F49)^100-1)</f>
        <v>0.19702168083829194</v>
      </c>
    </row>
    <row r="58" spans="1:6" x14ac:dyDescent="0.25">
      <c r="A58" s="111" t="s">
        <v>95</v>
      </c>
      <c r="B58" s="111"/>
      <c r="C58" s="111"/>
      <c r="D58" s="111"/>
      <c r="E58" s="111"/>
      <c r="F58" s="111"/>
    </row>
    <row r="59" spans="1:6" x14ac:dyDescent="0.25">
      <c r="A59" s="112"/>
      <c r="B59" s="112"/>
      <c r="C59" s="112"/>
      <c r="D59" s="112"/>
      <c r="E59" s="112"/>
      <c r="F59" s="112"/>
    </row>
  </sheetData>
  <mergeCells count="3">
    <mergeCell ref="E6:F6"/>
    <mergeCell ref="A58:F59"/>
    <mergeCell ref="E7:F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22" zoomScale="85" zoomScaleNormal="85" workbookViewId="0">
      <selection activeCell="F43" sqref="F43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6384" width="9.140625" style="24"/>
  </cols>
  <sheetData>
    <row r="1" spans="1:7" x14ac:dyDescent="0.2">
      <c r="C1" s="69" t="s">
        <v>33</v>
      </c>
      <c r="D1" s="70"/>
      <c r="E1" s="69" t="s">
        <v>90</v>
      </c>
      <c r="F1" s="71"/>
      <c r="G1" s="70"/>
    </row>
    <row r="2" spans="1:7" x14ac:dyDescent="0.2">
      <c r="C2" s="69" t="s">
        <v>34</v>
      </c>
      <c r="D2" s="70"/>
      <c r="E2" s="72" t="s">
        <v>42</v>
      </c>
      <c r="F2" s="71"/>
      <c r="G2" s="70"/>
    </row>
    <row r="3" spans="1:7" x14ac:dyDescent="0.2">
      <c r="C3" s="69" t="s">
        <v>35</v>
      </c>
      <c r="D3" s="70"/>
      <c r="E3" s="72" t="s">
        <v>58</v>
      </c>
      <c r="F3" s="71"/>
      <c r="G3" s="70"/>
    </row>
    <row r="4" spans="1:7" x14ac:dyDescent="0.2">
      <c r="C4" s="69" t="s">
        <v>36</v>
      </c>
      <c r="D4" s="70"/>
      <c r="E4" s="72" t="s">
        <v>57</v>
      </c>
      <c r="F4" s="71"/>
      <c r="G4" s="70"/>
    </row>
    <row r="5" spans="1:7" x14ac:dyDescent="0.2">
      <c r="C5" s="69" t="s">
        <v>37</v>
      </c>
      <c r="D5" s="70"/>
      <c r="E5" s="70" t="s">
        <v>39</v>
      </c>
      <c r="F5" s="71"/>
      <c r="G5" s="70"/>
    </row>
    <row r="6" spans="1:7" x14ac:dyDescent="0.2">
      <c r="C6" s="69" t="s">
        <v>38</v>
      </c>
      <c r="D6" s="70"/>
      <c r="E6" s="110">
        <v>41726</v>
      </c>
      <c r="F6" s="110"/>
      <c r="G6" s="70"/>
    </row>
    <row r="7" spans="1:7" ht="15" x14ac:dyDescent="0.25">
      <c r="A7" s="98"/>
      <c r="B7" s="98"/>
      <c r="C7" s="69" t="s">
        <v>99</v>
      </c>
      <c r="E7" s="113">
        <v>0</v>
      </c>
      <c r="F7" s="113"/>
    </row>
    <row r="8" spans="1:7" ht="18" x14ac:dyDescent="0.25">
      <c r="A8" s="26" t="s">
        <v>40</v>
      </c>
    </row>
    <row r="9" spans="1:7" ht="15.75" x14ac:dyDescent="0.25">
      <c r="A9" s="58" t="s">
        <v>23</v>
      </c>
      <c r="B9" s="59"/>
      <c r="C9" s="64"/>
      <c r="D9" s="59"/>
      <c r="E9" s="59"/>
      <c r="F9" s="65"/>
    </row>
    <row r="10" spans="1:7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</row>
    <row r="11" spans="1:7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0.78100000000000003</v>
      </c>
    </row>
    <row r="12" spans="1:7" x14ac:dyDescent="0.25">
      <c r="A12" s="31">
        <v>2</v>
      </c>
      <c r="B12" s="32" t="s">
        <v>43</v>
      </c>
      <c r="C12" s="33"/>
      <c r="D12" s="37"/>
      <c r="E12" s="34"/>
      <c r="F12" s="35">
        <v>1.109</v>
      </c>
    </row>
    <row r="13" spans="1:7" s="28" customFormat="1" ht="15" x14ac:dyDescent="0.25">
      <c r="A13" s="31">
        <v>3</v>
      </c>
      <c r="B13" s="32" t="s">
        <v>68</v>
      </c>
      <c r="C13" s="33"/>
      <c r="D13" s="37"/>
      <c r="E13" s="34"/>
      <c r="F13" s="35">
        <v>2.5569999999999999</v>
      </c>
    </row>
    <row r="14" spans="1:7" x14ac:dyDescent="0.25">
      <c r="A14" s="31">
        <v>4</v>
      </c>
      <c r="B14" s="32" t="s">
        <v>69</v>
      </c>
      <c r="C14" s="33"/>
      <c r="D14" s="37"/>
      <c r="E14" s="34"/>
      <c r="F14" s="35">
        <v>0.93600000000000005</v>
      </c>
    </row>
    <row r="15" spans="1:7" s="28" customFormat="1" ht="15" x14ac:dyDescent="0.25">
      <c r="A15" s="31">
        <v>5</v>
      </c>
      <c r="B15" s="32" t="s">
        <v>65</v>
      </c>
      <c r="C15" s="33"/>
      <c r="D15" s="32"/>
      <c r="E15" s="34"/>
      <c r="F15" s="35">
        <v>0.14499999999999999</v>
      </c>
    </row>
    <row r="16" spans="1:7" x14ac:dyDescent="0.25">
      <c r="A16" s="31">
        <v>6</v>
      </c>
      <c r="B16" s="32" t="s">
        <v>28</v>
      </c>
      <c r="C16" s="33"/>
      <c r="D16" s="37"/>
      <c r="E16" s="34"/>
      <c r="F16" s="35">
        <v>0.31</v>
      </c>
    </row>
    <row r="17" spans="1:9" s="28" customFormat="1" ht="15" x14ac:dyDescent="0.25">
      <c r="A17" s="31">
        <v>7</v>
      </c>
      <c r="B17" s="32" t="s">
        <v>29</v>
      </c>
      <c r="C17" s="33"/>
      <c r="D17" s="32"/>
      <c r="E17" s="34"/>
      <c r="F17" s="35">
        <v>0.67500000000000004</v>
      </c>
    </row>
    <row r="18" spans="1:9" x14ac:dyDescent="0.25">
      <c r="A18" s="31">
        <v>8</v>
      </c>
      <c r="B18" s="32" t="s">
        <v>66</v>
      </c>
      <c r="C18" s="33"/>
      <c r="D18" s="37"/>
      <c r="E18" s="34"/>
      <c r="F18" s="35">
        <v>0.84299999999999997</v>
      </c>
    </row>
    <row r="19" spans="1:9" x14ac:dyDescent="0.25">
      <c r="A19" s="31">
        <v>9</v>
      </c>
      <c r="B19" s="32" t="s">
        <v>30</v>
      </c>
      <c r="C19" s="33"/>
      <c r="D19" s="37"/>
      <c r="E19" s="34"/>
      <c r="F19" s="35">
        <v>2.1999999999999999E-2</v>
      </c>
    </row>
    <row r="20" spans="1:9" s="28" customFormat="1" ht="15" x14ac:dyDescent="0.25">
      <c r="A20" s="31">
        <v>10</v>
      </c>
      <c r="B20" s="32" t="s">
        <v>13</v>
      </c>
      <c r="C20" s="33"/>
      <c r="D20" s="33"/>
      <c r="E20" s="34"/>
      <c r="F20" s="35">
        <v>5.1059999999999999</v>
      </c>
    </row>
    <row r="21" spans="1:9" x14ac:dyDescent="0.25">
      <c r="A21" s="39" t="s">
        <v>109</v>
      </c>
      <c r="B21" s="36"/>
      <c r="C21" s="40"/>
      <c r="D21" s="36"/>
      <c r="E21" s="36"/>
      <c r="F21" s="41"/>
    </row>
    <row r="22" spans="1:9" s="27" customFormat="1" ht="15" customHeight="1" x14ac:dyDescent="0.25">
      <c r="A22" s="42" t="s">
        <v>14</v>
      </c>
      <c r="B22" s="43"/>
      <c r="C22" s="44"/>
      <c r="D22" s="43"/>
      <c r="E22" s="43"/>
      <c r="F22" s="45">
        <f>SUBTOTAL(9,F11:F21)</f>
        <v>12.483999999999998</v>
      </c>
    </row>
    <row r="23" spans="1:9" s="27" customFormat="1" ht="15.75" x14ac:dyDescent="0.25">
      <c r="A23" s="39"/>
      <c r="B23" s="36"/>
      <c r="C23" s="40"/>
      <c r="D23" s="36"/>
      <c r="E23" s="36"/>
      <c r="F23" s="41"/>
    </row>
    <row r="24" spans="1:9" s="27" customFormat="1" ht="15.75" x14ac:dyDescent="0.25">
      <c r="A24" s="31"/>
      <c r="B24" s="32" t="s">
        <v>31</v>
      </c>
      <c r="C24" s="33"/>
      <c r="D24" s="33"/>
      <c r="E24" s="34"/>
      <c r="F24" s="35">
        <f>F22*0.1</f>
        <v>1.2484</v>
      </c>
    </row>
    <row r="25" spans="1:9" s="28" customFormat="1" ht="15" x14ac:dyDescent="0.25">
      <c r="A25" s="31"/>
      <c r="B25" s="32" t="s">
        <v>55</v>
      </c>
      <c r="C25" s="33"/>
      <c r="D25" s="32"/>
      <c r="E25" s="32"/>
      <c r="F25" s="35">
        <f>SUM(F22:F24)*0.25</f>
        <v>3.4330999999999996</v>
      </c>
    </row>
    <row r="26" spans="1:9" s="28" customFormat="1" ht="15" x14ac:dyDescent="0.25">
      <c r="A26" s="39"/>
      <c r="B26" s="36"/>
      <c r="C26" s="40"/>
      <c r="D26" s="36"/>
      <c r="E26" s="36"/>
      <c r="F26" s="41"/>
    </row>
    <row r="27" spans="1:9" ht="15" x14ac:dyDescent="0.25">
      <c r="A27" s="73" t="s">
        <v>24</v>
      </c>
      <c r="B27" s="74"/>
      <c r="C27" s="75"/>
      <c r="D27" s="74"/>
      <c r="E27" s="74"/>
      <c r="F27" s="76">
        <f>SUM(F22:F26)</f>
        <v>17.165499999999998</v>
      </c>
    </row>
    <row r="28" spans="1:9" x14ac:dyDescent="0.25">
      <c r="E28" s="29"/>
    </row>
    <row r="29" spans="1:9" ht="15.75" x14ac:dyDescent="0.25">
      <c r="A29" s="58" t="s">
        <v>15</v>
      </c>
      <c r="B29" s="59"/>
      <c r="C29" s="60"/>
      <c r="D29" s="61"/>
      <c r="E29" s="62" t="s">
        <v>56</v>
      </c>
      <c r="F29" s="63">
        <v>2.5000000000000001E-2</v>
      </c>
    </row>
    <row r="30" spans="1:9" s="27" customFormat="1" ht="30" x14ac:dyDescent="0.25">
      <c r="A30" s="46" t="s">
        <v>1</v>
      </c>
      <c r="B30" s="47" t="s">
        <v>2</v>
      </c>
      <c r="C30" s="49" t="s">
        <v>22</v>
      </c>
      <c r="D30" s="49" t="s">
        <v>17</v>
      </c>
      <c r="E30" s="49" t="s">
        <v>21</v>
      </c>
      <c r="F30" s="50" t="s">
        <v>0</v>
      </c>
      <c r="I30" s="28"/>
    </row>
    <row r="31" spans="1:9" s="28" customFormat="1" ht="15" x14ac:dyDescent="0.25">
      <c r="A31" s="31">
        <v>1</v>
      </c>
      <c r="B31" s="32" t="s">
        <v>18</v>
      </c>
      <c r="C31" s="51"/>
      <c r="D31" s="51"/>
      <c r="E31" s="34"/>
      <c r="F31" s="35">
        <f>SUBTOTAL(9,F32:F33)</f>
        <v>1.6340739571739724</v>
      </c>
    </row>
    <row r="32" spans="1:9" x14ac:dyDescent="0.25">
      <c r="A32" s="52">
        <f>A31+0.1</f>
        <v>1.1000000000000001</v>
      </c>
      <c r="B32" s="36" t="s">
        <v>16</v>
      </c>
      <c r="C32" s="53">
        <v>15000</v>
      </c>
      <c r="D32" s="54">
        <v>1</v>
      </c>
      <c r="E32" s="54">
        <v>100</v>
      </c>
      <c r="F32" s="55">
        <f>$C32*((1+$F$29)^$E32-1)/(((1+$F$29)^D32-1)*(1+$F$29)^$E32)/1000000</f>
        <v>0.54921157896718642</v>
      </c>
      <c r="H32" s="30"/>
    </row>
    <row r="33" spans="1:8" x14ac:dyDescent="0.25">
      <c r="A33" s="52">
        <f>A32+0.1</f>
        <v>1.2000000000000002</v>
      </c>
      <c r="B33" s="36" t="s">
        <v>19</v>
      </c>
      <c r="C33" s="53">
        <v>60000</v>
      </c>
      <c r="D33" s="54">
        <v>2</v>
      </c>
      <c r="E33" s="54">
        <v>100</v>
      </c>
      <c r="F33" s="55">
        <f>$C33*((1+$F$29)^$E33-1)/(((1+$F$29)^D33-1)*(1+$F$29)^$E33)/1000000</f>
        <v>1.0848623782067861</v>
      </c>
      <c r="H33" s="30"/>
    </row>
    <row r="34" spans="1:8" s="28" customFormat="1" ht="15" x14ac:dyDescent="0.25">
      <c r="A34" s="31">
        <v>2</v>
      </c>
      <c r="B34" s="32" t="s">
        <v>20</v>
      </c>
      <c r="C34" s="56"/>
      <c r="D34" s="57"/>
      <c r="E34" s="57"/>
      <c r="F34" s="35">
        <f>SUBTOTAL(9,F35:F35)</f>
        <v>6.5362595014900479E-2</v>
      </c>
    </row>
    <row r="35" spans="1:8" ht="25.5" x14ac:dyDescent="0.25">
      <c r="A35" s="52">
        <f>A34+0.1</f>
        <v>2.1</v>
      </c>
      <c r="B35" s="38" t="s">
        <v>92</v>
      </c>
      <c r="C35" s="53">
        <v>20000</v>
      </c>
      <c r="D35" s="54">
        <v>10</v>
      </c>
      <c r="E35" s="54">
        <v>100</v>
      </c>
      <c r="F35" s="55">
        <f>$C35*((1+$F$29)^$E35-1)/(((1+$F$29)^D35-1)*(1+$F$29)^$E35)/1000000</f>
        <v>6.5362595014900479E-2</v>
      </c>
      <c r="G35" s="80"/>
      <c r="H35" s="30"/>
    </row>
    <row r="36" spans="1:8" s="28" customFormat="1" ht="15" x14ac:dyDescent="0.25">
      <c r="A36" s="31">
        <v>3</v>
      </c>
      <c r="B36" s="32" t="s">
        <v>32</v>
      </c>
      <c r="C36" s="56"/>
      <c r="D36" s="57"/>
      <c r="E36" s="57"/>
      <c r="F36" s="35">
        <f>SUBTOTAL(9,F37)</f>
        <v>0.31666056577421287</v>
      </c>
    </row>
    <row r="37" spans="1:8" ht="26.25" customHeight="1" x14ac:dyDescent="0.25">
      <c r="A37" s="52">
        <v>2.1</v>
      </c>
      <c r="B37" s="38" t="s">
        <v>102</v>
      </c>
      <c r="C37" s="53">
        <v>705000</v>
      </c>
      <c r="D37" s="54">
        <v>45</v>
      </c>
      <c r="E37" s="54">
        <v>100</v>
      </c>
      <c r="F37" s="55">
        <f>$C37*((1+$F$29)^$E37-1)/(((1+$F$29)^D37-1)*(1+$F$29)^$E37)/1000000</f>
        <v>0.31666056577421287</v>
      </c>
      <c r="G37" s="80"/>
      <c r="H37" s="30"/>
    </row>
    <row r="38" spans="1:8" ht="26.25" customHeight="1" x14ac:dyDescent="0.25">
      <c r="A38" s="52">
        <v>2.2000000000000002</v>
      </c>
      <c r="B38" s="38" t="s">
        <v>103</v>
      </c>
      <c r="C38" s="53">
        <v>705000</v>
      </c>
      <c r="D38" s="54">
        <v>12</v>
      </c>
      <c r="E38" s="54">
        <v>100</v>
      </c>
      <c r="F38" s="55">
        <f>$C38*((1+$F$29)^$E38-1)/(((1+$F$29)^D38-1)*(1+$F$29)^$E38)/1000000</f>
        <v>1.8711061649988201</v>
      </c>
      <c r="G38" s="80"/>
      <c r="H38" s="30"/>
    </row>
    <row r="39" spans="1:8" x14ac:dyDescent="0.25">
      <c r="A39" s="42" t="s">
        <v>14</v>
      </c>
      <c r="B39" s="43"/>
      <c r="C39" s="44"/>
      <c r="D39" s="43"/>
      <c r="E39" s="43"/>
      <c r="F39" s="45">
        <f>SUBTOTAL(9,F31:F38)</f>
        <v>3.8872032829619059</v>
      </c>
      <c r="G39" s="80"/>
      <c r="H39" s="30"/>
    </row>
    <row r="40" spans="1:8" x14ac:dyDescent="0.25">
      <c r="A40" s="39"/>
      <c r="B40" s="36"/>
      <c r="C40" s="40"/>
      <c r="D40" s="36"/>
      <c r="E40" s="36"/>
      <c r="F40" s="41"/>
    </row>
    <row r="41" spans="1:8" s="28" customFormat="1" ht="15" x14ac:dyDescent="0.25">
      <c r="A41" s="73" t="str">
        <f>"Total Estimated Operational Costs (Over " &amp; TEXT(100,"0") &amp; "-Year Period)"</f>
        <v>Total Estimated Operational Costs (Over 100-Year Period)</v>
      </c>
      <c r="B41" s="74"/>
      <c r="C41" s="75"/>
      <c r="D41" s="74"/>
      <c r="E41" s="74"/>
      <c r="F41" s="76">
        <f>SUM(F39:F40)</f>
        <v>3.8872032829619059</v>
      </c>
    </row>
    <row r="42" spans="1:8" s="28" customFormat="1" ht="15" x14ac:dyDescent="0.25">
      <c r="A42" s="73" t="s">
        <v>41</v>
      </c>
      <c r="B42" s="74"/>
      <c r="C42" s="75"/>
      <c r="D42" s="74"/>
      <c r="E42" s="74"/>
      <c r="F42" s="79">
        <f>F41*F29*(1+F29)^100/((1+F29)^100-1)</f>
        <v>0.10616682436681205</v>
      </c>
    </row>
    <row r="44" spans="1:8" s="28" customFormat="1" ht="15.75" x14ac:dyDescent="0.25">
      <c r="A44" s="58" t="str">
        <f>"Total Estimated Lifecycle Costs (Over " &amp; TEXT(100,"0") &amp; "-Year Period)"</f>
        <v>Total Estimated Lifecycle Costs (Over 100-Year Period)</v>
      </c>
      <c r="B44" s="66"/>
      <c r="C44" s="67"/>
      <c r="D44" s="66"/>
      <c r="E44" s="66"/>
      <c r="F44" s="68">
        <f>F27+F41</f>
        <v>21.052703282961904</v>
      </c>
    </row>
    <row r="46" spans="1:8" s="27" customFormat="1" ht="15.75" x14ac:dyDescent="0.25">
      <c r="A46" s="24"/>
      <c r="B46" s="24"/>
      <c r="C46" s="24"/>
      <c r="D46" s="24"/>
      <c r="E46" s="24"/>
      <c r="F46" s="24"/>
      <c r="G46" s="80"/>
    </row>
    <row r="47" spans="1:8" ht="15.75" x14ac:dyDescent="0.25">
      <c r="A47" s="58" t="s">
        <v>59</v>
      </c>
      <c r="B47" s="59"/>
      <c r="C47" s="60"/>
      <c r="D47" s="61"/>
      <c r="E47" s="62" t="s">
        <v>56</v>
      </c>
      <c r="F47" s="63">
        <v>2.5000000000000001E-2</v>
      </c>
    </row>
    <row r="48" spans="1:8" ht="30" x14ac:dyDescent="0.25">
      <c r="A48" s="46" t="s">
        <v>1</v>
      </c>
      <c r="B48" s="47" t="s">
        <v>2</v>
      </c>
      <c r="C48" s="49" t="s">
        <v>22</v>
      </c>
      <c r="D48" s="49" t="s">
        <v>17</v>
      </c>
      <c r="E48" s="49" t="s">
        <v>21</v>
      </c>
      <c r="F48" s="50" t="s">
        <v>0</v>
      </c>
    </row>
    <row r="49" spans="1:6" x14ac:dyDescent="0.25">
      <c r="A49" s="31">
        <v>1</v>
      </c>
      <c r="B49" s="93" t="s">
        <v>93</v>
      </c>
      <c r="C49" s="94">
        <v>40000</v>
      </c>
      <c r="D49" s="57">
        <v>4</v>
      </c>
      <c r="E49" s="57">
        <v>100</v>
      </c>
      <c r="F49" s="35">
        <f>$C49*((1+$F$29)^$E49-1)/(((1+$F$29)^D49-1)*(1+$F$29)^$E49)/1000000</f>
        <v>0.35269324497223581</v>
      </c>
    </row>
    <row r="50" spans="1:6" ht="25.5" x14ac:dyDescent="0.25">
      <c r="A50" s="31">
        <v>2</v>
      </c>
      <c r="B50" s="93" t="s">
        <v>104</v>
      </c>
      <c r="C50" s="94">
        <v>4318000</v>
      </c>
      <c r="D50" s="57">
        <v>20</v>
      </c>
      <c r="E50" s="57">
        <v>100</v>
      </c>
      <c r="F50" s="35">
        <f t="shared" ref="F50:F51" si="0">$C50*((1+$F$29)^$E50-1)/(((1+$F$29)^D50-1)*(1+$F$29)^$E50)/1000000</f>
        <v>6.1891495644916423</v>
      </c>
    </row>
    <row r="51" spans="1:6" ht="25.5" x14ac:dyDescent="0.25">
      <c r="A51" s="31">
        <v>3</v>
      </c>
      <c r="B51" s="95" t="s">
        <v>105</v>
      </c>
      <c r="C51" s="96">
        <f>1789000</f>
        <v>1789000</v>
      </c>
      <c r="D51" s="97">
        <v>50</v>
      </c>
      <c r="E51" s="57">
        <v>100</v>
      </c>
      <c r="F51" s="35">
        <f t="shared" si="0"/>
        <v>0.67192975213392203</v>
      </c>
    </row>
    <row r="52" spans="1:6" x14ac:dyDescent="0.25">
      <c r="A52" s="42" t="s">
        <v>14</v>
      </c>
      <c r="B52" s="43"/>
      <c r="C52" s="44"/>
      <c r="D52" s="43"/>
      <c r="E52" s="43"/>
      <c r="F52" s="45">
        <f>SUBTOTAL(9,F49:F51)</f>
        <v>7.2137725615977999</v>
      </c>
    </row>
    <row r="53" spans="1:6" x14ac:dyDescent="0.25">
      <c r="A53" s="39"/>
      <c r="B53" s="36"/>
      <c r="C53" s="40"/>
      <c r="D53" s="36"/>
      <c r="E53" s="36"/>
      <c r="F53" s="41"/>
    </row>
    <row r="54" spans="1:6" ht="15" x14ac:dyDescent="0.25">
      <c r="A54" s="73" t="str">
        <f>"Total Estimated Cost (Over " &amp; TEXT(100,"0") &amp; "-Year Period)"</f>
        <v>Total Estimated Cost (Over 100-Year Period)</v>
      </c>
      <c r="B54" s="74"/>
      <c r="C54" s="75"/>
      <c r="D54" s="74"/>
      <c r="E54" s="74"/>
      <c r="F54" s="76">
        <f>SUM(F52:F53)</f>
        <v>7.2137725615977999</v>
      </c>
    </row>
    <row r="55" spans="1:6" ht="15" x14ac:dyDescent="0.25">
      <c r="A55" s="73" t="s">
        <v>94</v>
      </c>
      <c r="B55" s="74"/>
      <c r="C55" s="75"/>
      <c r="D55" s="74"/>
      <c r="E55" s="74"/>
      <c r="F55" s="79">
        <f>F54*F47*(1+F47)^100/((1+F47)^100-1)</f>
        <v>0.19702168083829194</v>
      </c>
    </row>
    <row r="56" spans="1:6" x14ac:dyDescent="0.25">
      <c r="A56" s="111" t="s">
        <v>95</v>
      </c>
      <c r="B56" s="111"/>
      <c r="C56" s="111"/>
      <c r="D56" s="111"/>
      <c r="E56" s="111"/>
      <c r="F56" s="111"/>
    </row>
    <row r="57" spans="1:6" x14ac:dyDescent="0.25">
      <c r="A57" s="112"/>
      <c r="B57" s="112"/>
      <c r="C57" s="112"/>
      <c r="D57" s="112"/>
      <c r="E57" s="112"/>
      <c r="F57" s="112"/>
    </row>
  </sheetData>
  <mergeCells count="3">
    <mergeCell ref="E6:F6"/>
    <mergeCell ref="A56:F57"/>
    <mergeCell ref="E7:F7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3" zoomScale="85" zoomScaleNormal="85" workbookViewId="0">
      <selection activeCell="F43" sqref="F43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6384" width="9.140625" style="24"/>
  </cols>
  <sheetData>
    <row r="1" spans="1:7" x14ac:dyDescent="0.2">
      <c r="C1" s="69" t="s">
        <v>33</v>
      </c>
      <c r="D1" s="70"/>
      <c r="E1" s="69" t="s">
        <v>73</v>
      </c>
      <c r="F1" s="71"/>
      <c r="G1" s="70"/>
    </row>
    <row r="2" spans="1:7" x14ac:dyDescent="0.2">
      <c r="C2" s="69" t="s">
        <v>34</v>
      </c>
      <c r="D2" s="70"/>
      <c r="E2" s="72" t="s">
        <v>42</v>
      </c>
      <c r="F2" s="71"/>
      <c r="G2" s="70"/>
    </row>
    <row r="3" spans="1:7" x14ac:dyDescent="0.2">
      <c r="C3" s="69" t="s">
        <v>35</v>
      </c>
      <c r="D3" s="70"/>
      <c r="E3" s="72" t="s">
        <v>58</v>
      </c>
      <c r="F3" s="71"/>
      <c r="G3" s="70"/>
    </row>
    <row r="4" spans="1:7" x14ac:dyDescent="0.2">
      <c r="C4" s="69" t="s">
        <v>36</v>
      </c>
      <c r="D4" s="70"/>
      <c r="E4" s="72" t="s">
        <v>57</v>
      </c>
      <c r="F4" s="71"/>
      <c r="G4" s="70"/>
    </row>
    <row r="5" spans="1:7" x14ac:dyDescent="0.2">
      <c r="C5" s="69" t="s">
        <v>37</v>
      </c>
      <c r="D5" s="70"/>
      <c r="E5" s="70" t="s">
        <v>39</v>
      </c>
      <c r="F5" s="71"/>
      <c r="G5" s="70"/>
    </row>
    <row r="6" spans="1:7" x14ac:dyDescent="0.2">
      <c r="C6" s="69" t="s">
        <v>38</v>
      </c>
      <c r="D6" s="70"/>
      <c r="E6" s="110">
        <v>41726</v>
      </c>
      <c r="F6" s="110"/>
      <c r="G6" s="70"/>
    </row>
    <row r="7" spans="1:7" ht="15" x14ac:dyDescent="0.25">
      <c r="C7" s="69" t="s">
        <v>99</v>
      </c>
      <c r="E7" s="113">
        <v>0</v>
      </c>
      <c r="F7" s="113"/>
    </row>
    <row r="8" spans="1:7" ht="18" x14ac:dyDescent="0.25">
      <c r="A8" s="26" t="s">
        <v>40</v>
      </c>
    </row>
    <row r="9" spans="1:7" ht="15.75" x14ac:dyDescent="0.25">
      <c r="A9" s="58" t="s">
        <v>23</v>
      </c>
      <c r="B9" s="59"/>
      <c r="C9" s="64"/>
      <c r="D9" s="59"/>
      <c r="E9" s="59"/>
      <c r="F9" s="65"/>
    </row>
    <row r="10" spans="1:7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</row>
    <row r="11" spans="1:7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1.22</v>
      </c>
    </row>
    <row r="12" spans="1:7" x14ac:dyDescent="0.25">
      <c r="A12" s="31">
        <v>2</v>
      </c>
      <c r="B12" s="32" t="s">
        <v>43</v>
      </c>
      <c r="C12" s="33"/>
      <c r="D12" s="37"/>
      <c r="E12" s="34"/>
      <c r="F12" s="35">
        <v>1.1020000000000001</v>
      </c>
    </row>
    <row r="13" spans="1:7" x14ac:dyDescent="0.25">
      <c r="A13" s="31">
        <v>3</v>
      </c>
      <c r="B13" s="32" t="s">
        <v>64</v>
      </c>
      <c r="C13" s="33"/>
      <c r="D13" s="37"/>
      <c r="E13" s="34"/>
      <c r="F13" s="35">
        <v>6.9349999999999996</v>
      </c>
    </row>
    <row r="14" spans="1:7" s="28" customFormat="1" ht="15" x14ac:dyDescent="0.25">
      <c r="A14" s="31">
        <v>4</v>
      </c>
      <c r="B14" s="32" t="s">
        <v>71</v>
      </c>
      <c r="C14" s="33"/>
      <c r="D14" s="37"/>
      <c r="E14" s="34"/>
      <c r="F14" s="35">
        <v>4.8</v>
      </c>
    </row>
    <row r="15" spans="1:7" s="28" customFormat="1" ht="15" x14ac:dyDescent="0.25">
      <c r="A15" s="31">
        <v>5</v>
      </c>
      <c r="B15" s="32" t="s">
        <v>72</v>
      </c>
      <c r="C15" s="33"/>
      <c r="D15" s="37"/>
      <c r="E15" s="34"/>
      <c r="F15" s="35">
        <v>3.76</v>
      </c>
    </row>
    <row r="16" spans="1:7" x14ac:dyDescent="0.25">
      <c r="A16" s="31">
        <v>6</v>
      </c>
      <c r="B16" s="32" t="s">
        <v>69</v>
      </c>
      <c r="C16" s="33"/>
      <c r="D16" s="37"/>
      <c r="E16" s="34"/>
      <c r="F16" s="35">
        <v>1.024</v>
      </c>
    </row>
    <row r="17" spans="1:9" s="28" customFormat="1" ht="15" x14ac:dyDescent="0.25">
      <c r="A17" s="31">
        <v>7</v>
      </c>
      <c r="B17" s="32" t="s">
        <v>65</v>
      </c>
      <c r="C17" s="33"/>
      <c r="D17" s="32"/>
      <c r="E17" s="34"/>
      <c r="F17" s="35">
        <v>0.17699999999999999</v>
      </c>
    </row>
    <row r="18" spans="1:9" x14ac:dyDescent="0.25">
      <c r="A18" s="31">
        <v>8</v>
      </c>
      <c r="B18" s="32" t="s">
        <v>28</v>
      </c>
      <c r="C18" s="33"/>
      <c r="D18" s="37"/>
      <c r="E18" s="34"/>
      <c r="F18" s="35">
        <v>0.79</v>
      </c>
    </row>
    <row r="19" spans="1:9" s="28" customFormat="1" ht="15" x14ac:dyDescent="0.25">
      <c r="A19" s="31">
        <v>9</v>
      </c>
      <c r="B19" s="32" t="s">
        <v>29</v>
      </c>
      <c r="C19" s="33"/>
      <c r="D19" s="32"/>
      <c r="E19" s="34"/>
      <c r="F19" s="35">
        <v>2.8340000000000001</v>
      </c>
    </row>
    <row r="20" spans="1:9" x14ac:dyDescent="0.25">
      <c r="A20" s="31">
        <v>10</v>
      </c>
      <c r="B20" s="32" t="s">
        <v>66</v>
      </c>
      <c r="C20" s="33"/>
      <c r="D20" s="37"/>
      <c r="E20" s="34"/>
      <c r="F20" s="35">
        <v>0.79</v>
      </c>
    </row>
    <row r="21" spans="1:9" x14ac:dyDescent="0.25">
      <c r="A21" s="31">
        <v>11</v>
      </c>
      <c r="B21" s="32" t="s">
        <v>30</v>
      </c>
      <c r="C21" s="33"/>
      <c r="D21" s="37"/>
      <c r="E21" s="34"/>
      <c r="F21" s="35">
        <v>5.7000000000000002E-2</v>
      </c>
    </row>
    <row r="22" spans="1:9" s="28" customFormat="1" ht="15" x14ac:dyDescent="0.25">
      <c r="A22" s="31">
        <v>12</v>
      </c>
      <c r="B22" s="32" t="s">
        <v>13</v>
      </c>
      <c r="C22" s="33"/>
      <c r="D22" s="33"/>
      <c r="E22" s="34"/>
      <c r="F22" s="35">
        <v>12.367000000000001</v>
      </c>
    </row>
    <row r="23" spans="1:9" x14ac:dyDescent="0.25">
      <c r="A23" s="39" t="s">
        <v>110</v>
      </c>
      <c r="B23" s="36"/>
      <c r="C23" s="40"/>
      <c r="D23" s="36"/>
      <c r="E23" s="36"/>
      <c r="F23" s="41"/>
    </row>
    <row r="24" spans="1:9" s="27" customFormat="1" ht="15" customHeight="1" x14ac:dyDescent="0.25">
      <c r="A24" s="42" t="s">
        <v>14</v>
      </c>
      <c r="B24" s="43"/>
      <c r="C24" s="44"/>
      <c r="D24" s="43"/>
      <c r="E24" s="43"/>
      <c r="F24" s="45">
        <f>SUBTOTAL(9,F11:F23)</f>
        <v>35.855999999999995</v>
      </c>
    </row>
    <row r="25" spans="1:9" s="27" customFormat="1" ht="15.75" x14ac:dyDescent="0.25">
      <c r="A25" s="39"/>
      <c r="B25" s="36"/>
      <c r="C25" s="40"/>
      <c r="D25" s="36"/>
      <c r="E25" s="36"/>
      <c r="F25" s="41"/>
    </row>
    <row r="26" spans="1:9" s="27" customFormat="1" ht="15.75" x14ac:dyDescent="0.25">
      <c r="A26" s="31"/>
      <c r="B26" s="32" t="s">
        <v>31</v>
      </c>
      <c r="C26" s="33"/>
      <c r="D26" s="33"/>
      <c r="E26" s="34"/>
      <c r="F26" s="35">
        <f>F24*0.1</f>
        <v>3.5855999999999995</v>
      </c>
    </row>
    <row r="27" spans="1:9" s="28" customFormat="1" ht="15" x14ac:dyDescent="0.25">
      <c r="A27" s="31"/>
      <c r="B27" s="32" t="s">
        <v>55</v>
      </c>
      <c r="C27" s="33"/>
      <c r="D27" s="32"/>
      <c r="E27" s="32"/>
      <c r="F27" s="35">
        <f>SUM(F24:F26)*0.25</f>
        <v>9.8603999999999985</v>
      </c>
    </row>
    <row r="28" spans="1:9" s="28" customFormat="1" ht="15" x14ac:dyDescent="0.25">
      <c r="A28" s="39"/>
      <c r="B28" s="36"/>
      <c r="C28" s="40"/>
      <c r="D28" s="36"/>
      <c r="E28" s="36"/>
      <c r="F28" s="41"/>
    </row>
    <row r="29" spans="1:9" ht="15" x14ac:dyDescent="0.25">
      <c r="A29" s="73" t="s">
        <v>24</v>
      </c>
      <c r="B29" s="74"/>
      <c r="C29" s="75"/>
      <c r="D29" s="74"/>
      <c r="E29" s="74"/>
      <c r="F29" s="76">
        <f>SUM(F24:F28)</f>
        <v>49.301999999999992</v>
      </c>
    </row>
    <row r="30" spans="1:9" x14ac:dyDescent="0.25">
      <c r="E30" s="29"/>
    </row>
    <row r="31" spans="1:9" ht="15.75" x14ac:dyDescent="0.25">
      <c r="A31" s="58" t="s">
        <v>15</v>
      </c>
      <c r="B31" s="59"/>
      <c r="C31" s="60"/>
      <c r="D31" s="61"/>
      <c r="E31" s="62" t="s">
        <v>56</v>
      </c>
      <c r="F31" s="63">
        <v>2.5000000000000001E-2</v>
      </c>
    </row>
    <row r="32" spans="1:9" s="27" customFormat="1" ht="30" x14ac:dyDescent="0.25">
      <c r="A32" s="46" t="s">
        <v>1</v>
      </c>
      <c r="B32" s="47" t="s">
        <v>2</v>
      </c>
      <c r="C32" s="49" t="s">
        <v>22</v>
      </c>
      <c r="D32" s="49" t="s">
        <v>17</v>
      </c>
      <c r="E32" s="49" t="s">
        <v>21</v>
      </c>
      <c r="F32" s="50" t="s">
        <v>0</v>
      </c>
      <c r="I32" s="28"/>
    </row>
    <row r="33" spans="1:8" s="28" customFormat="1" ht="15" x14ac:dyDescent="0.25">
      <c r="A33" s="31">
        <v>1</v>
      </c>
      <c r="B33" s="32" t="s">
        <v>18</v>
      </c>
      <c r="C33" s="51"/>
      <c r="D33" s="51"/>
      <c r="E33" s="34"/>
      <c r="F33" s="35">
        <f>SUBTOTAL(9,F34:F35)</f>
        <v>1.6340739571739724</v>
      </c>
    </row>
    <row r="34" spans="1:8" x14ac:dyDescent="0.25">
      <c r="A34" s="52">
        <f>A33+0.1</f>
        <v>1.1000000000000001</v>
      </c>
      <c r="B34" s="36" t="s">
        <v>16</v>
      </c>
      <c r="C34" s="53">
        <v>15000</v>
      </c>
      <c r="D34" s="54">
        <v>1</v>
      </c>
      <c r="E34" s="54">
        <v>100</v>
      </c>
      <c r="F34" s="55">
        <f>$C34*((1+$F$31)^$E34-1)/(((1+$F$31)^D34-1)*(1+$F$31)^$E34)/1000000</f>
        <v>0.54921157896718642</v>
      </c>
      <c r="H34" s="30"/>
    </row>
    <row r="35" spans="1:8" x14ac:dyDescent="0.25">
      <c r="A35" s="52">
        <f>A34+0.1</f>
        <v>1.2000000000000002</v>
      </c>
      <c r="B35" s="36" t="s">
        <v>19</v>
      </c>
      <c r="C35" s="53">
        <v>60000</v>
      </c>
      <c r="D35" s="54">
        <v>2</v>
      </c>
      <c r="E35" s="54">
        <v>100</v>
      </c>
      <c r="F35" s="55">
        <f>$C35*((1+$F$31)^$E35-1)/(((1+$F$31)^D35-1)*(1+$F$31)^$E35)/1000000</f>
        <v>1.0848623782067861</v>
      </c>
      <c r="H35" s="30"/>
    </row>
    <row r="36" spans="1:8" s="28" customFormat="1" ht="15" x14ac:dyDescent="0.25">
      <c r="A36" s="31">
        <v>2</v>
      </c>
      <c r="B36" s="32" t="s">
        <v>20</v>
      </c>
      <c r="C36" s="56"/>
      <c r="D36" s="57"/>
      <c r="E36" s="57"/>
      <c r="F36" s="35">
        <f>SUBTOTAL(9,F37:F38)</f>
        <v>1.2451574350338541</v>
      </c>
    </row>
    <row r="37" spans="1:8" ht="25.5" x14ac:dyDescent="0.25">
      <c r="A37" s="52">
        <f>A36+0.1</f>
        <v>2.1</v>
      </c>
      <c r="B37" s="38" t="s">
        <v>101</v>
      </c>
      <c r="C37" s="53">
        <v>361000</v>
      </c>
      <c r="D37" s="54">
        <v>10</v>
      </c>
      <c r="E37" s="54">
        <v>100</v>
      </c>
      <c r="F37" s="55">
        <f>$C37*((1+$F$31)^$E37-1)/(((1+$F$31)^D37-1)*(1+$F$31)^$E37)/1000000</f>
        <v>1.1797948400189537</v>
      </c>
      <c r="G37" s="80"/>
      <c r="H37" s="30"/>
    </row>
    <row r="38" spans="1:8" ht="25.5" x14ac:dyDescent="0.25">
      <c r="A38" s="52">
        <f>A37+0.1</f>
        <v>2.2000000000000002</v>
      </c>
      <c r="B38" s="38" t="s">
        <v>92</v>
      </c>
      <c r="C38" s="53">
        <v>20000</v>
      </c>
      <c r="D38" s="54">
        <v>10</v>
      </c>
      <c r="E38" s="54">
        <v>100</v>
      </c>
      <c r="F38" s="55">
        <f>$C38*((1+$F$31)^$E38-1)/(((1+$F$31)^D38-1)*(1+$F$31)^$E38)/1000000</f>
        <v>6.5362595014900479E-2</v>
      </c>
      <c r="G38" s="80"/>
      <c r="H38" s="30"/>
    </row>
    <row r="39" spans="1:8" x14ac:dyDescent="0.25">
      <c r="A39" s="42" t="s">
        <v>14</v>
      </c>
      <c r="B39" s="43"/>
      <c r="C39" s="44"/>
      <c r="D39" s="43"/>
      <c r="E39" s="43"/>
      <c r="F39" s="45">
        <f>SUBTOTAL(9,F33:F38)</f>
        <v>2.8792313922078265</v>
      </c>
      <c r="G39" s="80"/>
      <c r="H39" s="30"/>
    </row>
    <row r="40" spans="1:8" x14ac:dyDescent="0.25">
      <c r="A40" s="39"/>
      <c r="B40" s="36"/>
      <c r="C40" s="40"/>
      <c r="D40" s="36"/>
      <c r="E40" s="36"/>
      <c r="F40" s="41"/>
    </row>
    <row r="41" spans="1:8" s="28" customFormat="1" ht="15" x14ac:dyDescent="0.25">
      <c r="A41" s="73" t="str">
        <f>"Total Estimated Operational Costs (Over " &amp; TEXT(100,"0") &amp; "-Year Period)"</f>
        <v>Total Estimated Operational Costs (Over 100-Year Period)</v>
      </c>
      <c r="B41" s="74"/>
      <c r="C41" s="75"/>
      <c r="D41" s="74"/>
      <c r="E41" s="74"/>
      <c r="F41" s="76">
        <f>SUM(F39:F40)</f>
        <v>2.8792313922078265</v>
      </c>
    </row>
    <row r="42" spans="1:8" s="28" customFormat="1" ht="15" x14ac:dyDescent="0.25">
      <c r="A42" s="73" t="s">
        <v>41</v>
      </c>
      <c r="B42" s="74"/>
      <c r="C42" s="75"/>
      <c r="D42" s="74"/>
      <c r="E42" s="74"/>
      <c r="F42" s="79">
        <f>F41*F31*(1+F31)^100/((1+F31)^100-1)</f>
        <v>7.8637218400120293E-2</v>
      </c>
    </row>
    <row r="44" spans="1:8" s="28" customFormat="1" ht="15.75" x14ac:dyDescent="0.25">
      <c r="A44" s="58" t="str">
        <f>"Total Estimated Lifecycle Costs (Over " &amp; TEXT(100,"0") &amp; "-Year Period)"</f>
        <v>Total Estimated Lifecycle Costs (Over 100-Year Period)</v>
      </c>
      <c r="B44" s="66"/>
      <c r="C44" s="67"/>
      <c r="D44" s="66"/>
      <c r="E44" s="66"/>
      <c r="F44" s="68">
        <f>F29+F41</f>
        <v>52.18123139220782</v>
      </c>
    </row>
    <row r="45" spans="1:8" ht="14.25" customHeight="1" x14ac:dyDescent="0.25">
      <c r="A45" s="111" t="s">
        <v>97</v>
      </c>
      <c r="B45" s="111"/>
      <c r="C45" s="111"/>
      <c r="D45" s="111"/>
      <c r="E45" s="111"/>
      <c r="F45" s="111"/>
    </row>
    <row r="46" spans="1:8" s="27" customFormat="1" ht="15.75" x14ac:dyDescent="0.25">
      <c r="A46" s="112"/>
      <c r="B46" s="112"/>
      <c r="C46" s="112"/>
      <c r="D46" s="112"/>
      <c r="E46" s="112"/>
      <c r="F46" s="112"/>
      <c r="G46" s="80"/>
    </row>
    <row r="47" spans="1:8" x14ac:dyDescent="0.25">
      <c r="C47" s="77"/>
    </row>
    <row r="48" spans="1:8" x14ac:dyDescent="0.25">
      <c r="C48" s="77"/>
    </row>
  </sheetData>
  <mergeCells count="3">
    <mergeCell ref="E6:F6"/>
    <mergeCell ref="A45:F46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="85" zoomScaleNormal="85" workbookViewId="0">
      <selection activeCell="G27" sqref="G27"/>
    </sheetView>
  </sheetViews>
  <sheetFormatPr defaultRowHeight="14.25" x14ac:dyDescent="0.25"/>
  <cols>
    <col min="1" max="1" width="11.28515625" style="24" customWidth="1"/>
    <col min="2" max="2" width="37.7109375" style="24" customWidth="1"/>
    <col min="3" max="3" width="13.5703125" style="25" customWidth="1"/>
    <col min="4" max="4" width="13.5703125" style="24" customWidth="1"/>
    <col min="5" max="5" width="12.7109375" style="24" customWidth="1"/>
    <col min="6" max="6" width="27.42578125" style="24" customWidth="1"/>
    <col min="7" max="7" width="14.42578125" style="24" bestFit="1" customWidth="1"/>
    <col min="8" max="8" width="9" style="24" customWidth="1"/>
    <col min="9" max="16384" width="9.140625" style="24"/>
  </cols>
  <sheetData>
    <row r="1" spans="1:7" x14ac:dyDescent="0.2">
      <c r="C1" s="69" t="s">
        <v>33</v>
      </c>
      <c r="D1" s="70"/>
      <c r="E1" s="69" t="s">
        <v>91</v>
      </c>
      <c r="F1" s="71"/>
      <c r="G1" s="70"/>
    </row>
    <row r="2" spans="1:7" x14ac:dyDescent="0.2">
      <c r="C2" s="69" t="s">
        <v>34</v>
      </c>
      <c r="D2" s="70"/>
      <c r="E2" s="72" t="s">
        <v>42</v>
      </c>
      <c r="F2" s="71"/>
      <c r="G2" s="70"/>
    </row>
    <row r="3" spans="1:7" x14ac:dyDescent="0.2">
      <c r="C3" s="69" t="s">
        <v>35</v>
      </c>
      <c r="D3" s="70"/>
      <c r="E3" s="72" t="s">
        <v>58</v>
      </c>
      <c r="F3" s="71"/>
      <c r="G3" s="70"/>
    </row>
    <row r="4" spans="1:7" x14ac:dyDescent="0.2">
      <c r="C4" s="69" t="s">
        <v>36</v>
      </c>
      <c r="D4" s="70"/>
      <c r="E4" s="72" t="s">
        <v>57</v>
      </c>
      <c r="F4" s="71"/>
      <c r="G4" s="70"/>
    </row>
    <row r="5" spans="1:7" x14ac:dyDescent="0.2">
      <c r="C5" s="69" t="s">
        <v>37</v>
      </c>
      <c r="D5" s="70"/>
      <c r="E5" s="70" t="s">
        <v>39</v>
      </c>
      <c r="F5" s="71"/>
      <c r="G5" s="70"/>
    </row>
    <row r="6" spans="1:7" x14ac:dyDescent="0.2">
      <c r="C6" s="69" t="s">
        <v>38</v>
      </c>
      <c r="D6" s="70"/>
      <c r="E6" s="110">
        <v>41726</v>
      </c>
      <c r="F6" s="110"/>
      <c r="G6" s="70"/>
    </row>
    <row r="7" spans="1:7" ht="15" x14ac:dyDescent="0.25">
      <c r="C7" s="69" t="s">
        <v>99</v>
      </c>
      <c r="E7" s="113">
        <v>0</v>
      </c>
      <c r="F7" s="113"/>
    </row>
    <row r="8" spans="1:7" ht="18" x14ac:dyDescent="0.25">
      <c r="A8" s="26" t="s">
        <v>40</v>
      </c>
    </row>
    <row r="9" spans="1:7" ht="15.75" x14ac:dyDescent="0.25">
      <c r="A9" s="58" t="s">
        <v>23</v>
      </c>
      <c r="B9" s="59"/>
      <c r="C9" s="64"/>
      <c r="D9" s="59"/>
      <c r="E9" s="59"/>
      <c r="F9" s="65"/>
    </row>
    <row r="10" spans="1:7" s="27" customFormat="1" ht="30" x14ac:dyDescent="0.25">
      <c r="A10" s="46" t="s">
        <v>1</v>
      </c>
      <c r="B10" s="47" t="s">
        <v>2</v>
      </c>
      <c r="C10" s="48"/>
      <c r="D10" s="49"/>
      <c r="E10" s="48"/>
      <c r="F10" s="50" t="s">
        <v>22</v>
      </c>
    </row>
    <row r="11" spans="1:7" s="28" customFormat="1" ht="15" x14ac:dyDescent="0.25">
      <c r="A11" s="31">
        <v>1</v>
      </c>
      <c r="B11" s="32" t="s">
        <v>12</v>
      </c>
      <c r="C11" s="33"/>
      <c r="D11" s="32"/>
      <c r="E11" s="34"/>
      <c r="F11" s="35">
        <v>1.22</v>
      </c>
    </row>
    <row r="12" spans="1:7" x14ac:dyDescent="0.25">
      <c r="A12" s="31">
        <v>2</v>
      </c>
      <c r="B12" s="32" t="s">
        <v>43</v>
      </c>
      <c r="C12" s="33"/>
      <c r="D12" s="37"/>
      <c r="E12" s="34"/>
      <c r="F12" s="35">
        <v>1.1020000000000001</v>
      </c>
    </row>
    <row r="13" spans="1:7" s="28" customFormat="1" ht="15" x14ac:dyDescent="0.25">
      <c r="A13" s="31">
        <v>3</v>
      </c>
      <c r="B13" s="32" t="s">
        <v>71</v>
      </c>
      <c r="C13" s="33"/>
      <c r="D13" s="37"/>
      <c r="E13" s="34"/>
      <c r="F13" s="35">
        <v>5.6</v>
      </c>
    </row>
    <row r="14" spans="1:7" s="28" customFormat="1" ht="15" x14ac:dyDescent="0.25">
      <c r="A14" s="31">
        <v>5</v>
      </c>
      <c r="B14" s="32" t="s">
        <v>72</v>
      </c>
      <c r="C14" s="33"/>
      <c r="D14" s="37"/>
      <c r="E14" s="34"/>
      <c r="F14" s="35">
        <v>4.51</v>
      </c>
    </row>
    <row r="15" spans="1:7" x14ac:dyDescent="0.25">
      <c r="A15" s="31">
        <v>6</v>
      </c>
      <c r="B15" s="32" t="s">
        <v>69</v>
      </c>
      <c r="C15" s="33"/>
      <c r="D15" s="37"/>
      <c r="E15" s="34"/>
      <c r="F15" s="35">
        <v>1.024</v>
      </c>
    </row>
    <row r="16" spans="1:7" s="28" customFormat="1" ht="15" x14ac:dyDescent="0.25">
      <c r="A16" s="31">
        <v>7</v>
      </c>
      <c r="B16" s="32" t="s">
        <v>65</v>
      </c>
      <c r="C16" s="33"/>
      <c r="D16" s="32"/>
      <c r="E16" s="34"/>
      <c r="F16" s="35">
        <v>0.17699999999999999</v>
      </c>
    </row>
    <row r="17" spans="1:9" x14ac:dyDescent="0.25">
      <c r="A17" s="31">
        <v>8</v>
      </c>
      <c r="B17" s="32" t="s">
        <v>28</v>
      </c>
      <c r="C17" s="33"/>
      <c r="D17" s="37"/>
      <c r="E17" s="34"/>
      <c r="F17" s="35">
        <v>0.66</v>
      </c>
    </row>
    <row r="18" spans="1:9" s="28" customFormat="1" ht="15" x14ac:dyDescent="0.25">
      <c r="A18" s="31">
        <v>9</v>
      </c>
      <c r="B18" s="32" t="s">
        <v>29</v>
      </c>
      <c r="C18" s="33"/>
      <c r="D18" s="32"/>
      <c r="E18" s="34"/>
      <c r="F18" s="35">
        <v>1.89</v>
      </c>
    </row>
    <row r="19" spans="1:9" x14ac:dyDescent="0.25">
      <c r="A19" s="31">
        <v>10</v>
      </c>
      <c r="B19" s="32" t="s">
        <v>66</v>
      </c>
      <c r="C19" s="33"/>
      <c r="D19" s="37"/>
      <c r="E19" s="34"/>
      <c r="F19" s="35">
        <v>0.79</v>
      </c>
    </row>
    <row r="20" spans="1:9" x14ac:dyDescent="0.25">
      <c r="A20" s="31">
        <v>11</v>
      </c>
      <c r="B20" s="32" t="s">
        <v>30</v>
      </c>
      <c r="C20" s="33"/>
      <c r="D20" s="37"/>
      <c r="E20" s="34"/>
      <c r="F20" s="35">
        <v>0.05</v>
      </c>
    </row>
    <row r="21" spans="1:9" s="28" customFormat="1" ht="15" x14ac:dyDescent="0.25">
      <c r="A21" s="31">
        <v>12</v>
      </c>
      <c r="B21" s="32" t="s">
        <v>13</v>
      </c>
      <c r="C21" s="33"/>
      <c r="D21" s="33"/>
      <c r="E21" s="34"/>
      <c r="F21" s="35">
        <v>8.4499999999999993</v>
      </c>
    </row>
    <row r="22" spans="1:9" x14ac:dyDescent="0.25">
      <c r="A22" s="39" t="s">
        <v>111</v>
      </c>
      <c r="B22" s="36"/>
      <c r="C22" s="40"/>
      <c r="D22" s="36"/>
      <c r="E22" s="36"/>
      <c r="F22" s="41"/>
    </row>
    <row r="23" spans="1:9" s="27" customFormat="1" ht="15" customHeight="1" x14ac:dyDescent="0.25">
      <c r="A23" s="42" t="s">
        <v>14</v>
      </c>
      <c r="B23" s="43"/>
      <c r="C23" s="44"/>
      <c r="D23" s="43"/>
      <c r="E23" s="43"/>
      <c r="F23" s="45">
        <f>SUBTOTAL(9,F11:F22)</f>
        <v>25.472999999999999</v>
      </c>
    </row>
    <row r="24" spans="1:9" s="27" customFormat="1" ht="15.75" x14ac:dyDescent="0.25">
      <c r="A24" s="39"/>
      <c r="B24" s="36"/>
      <c r="C24" s="40"/>
      <c r="D24" s="36"/>
      <c r="E24" s="36"/>
      <c r="F24" s="41"/>
    </row>
    <row r="25" spans="1:9" s="27" customFormat="1" ht="15.75" x14ac:dyDescent="0.25">
      <c r="A25" s="31"/>
      <c r="B25" s="32" t="s">
        <v>31</v>
      </c>
      <c r="C25" s="33"/>
      <c r="D25" s="33"/>
      <c r="E25" s="34"/>
      <c r="F25" s="35">
        <f>F23*0.1</f>
        <v>2.5472999999999999</v>
      </c>
    </row>
    <row r="26" spans="1:9" s="28" customFormat="1" ht="15" x14ac:dyDescent="0.25">
      <c r="A26" s="31"/>
      <c r="B26" s="32" t="s">
        <v>55</v>
      </c>
      <c r="C26" s="33"/>
      <c r="D26" s="32"/>
      <c r="E26" s="32"/>
      <c r="F26" s="35">
        <f>SUM(F23:F25)*0.25</f>
        <v>7.0050749999999997</v>
      </c>
    </row>
    <row r="27" spans="1:9" s="28" customFormat="1" ht="15" x14ac:dyDescent="0.25">
      <c r="A27" s="39"/>
      <c r="B27" s="36"/>
      <c r="C27" s="40"/>
      <c r="D27" s="36"/>
      <c r="E27" s="36"/>
      <c r="F27" s="41"/>
    </row>
    <row r="28" spans="1:9" ht="15" x14ac:dyDescent="0.25">
      <c r="A28" s="73" t="s">
        <v>24</v>
      </c>
      <c r="B28" s="74"/>
      <c r="C28" s="75"/>
      <c r="D28" s="74"/>
      <c r="E28" s="74"/>
      <c r="F28" s="76">
        <f>SUM(F23:F27)</f>
        <v>35.025374999999997</v>
      </c>
    </row>
    <row r="29" spans="1:9" x14ac:dyDescent="0.25">
      <c r="E29" s="29"/>
    </row>
    <row r="30" spans="1:9" ht="15.75" x14ac:dyDescent="0.25">
      <c r="A30" s="58" t="s">
        <v>15</v>
      </c>
      <c r="B30" s="59"/>
      <c r="C30" s="60"/>
      <c r="D30" s="61"/>
      <c r="E30" s="62" t="s">
        <v>56</v>
      </c>
      <c r="F30" s="63">
        <v>2.5000000000000001E-2</v>
      </c>
    </row>
    <row r="31" spans="1:9" s="27" customFormat="1" ht="30" x14ac:dyDescent="0.25">
      <c r="A31" s="46" t="s">
        <v>1</v>
      </c>
      <c r="B31" s="47" t="s">
        <v>2</v>
      </c>
      <c r="C31" s="49" t="s">
        <v>22</v>
      </c>
      <c r="D31" s="49" t="s">
        <v>17</v>
      </c>
      <c r="E31" s="49" t="s">
        <v>21</v>
      </c>
      <c r="F31" s="50" t="s">
        <v>0</v>
      </c>
      <c r="I31" s="28"/>
    </row>
    <row r="32" spans="1:9" s="28" customFormat="1" ht="15" x14ac:dyDescent="0.25">
      <c r="A32" s="31">
        <v>1</v>
      </c>
      <c r="B32" s="32" t="s">
        <v>18</v>
      </c>
      <c r="C32" s="51"/>
      <c r="D32" s="51"/>
      <c r="E32" s="34"/>
      <c r="F32" s="35">
        <f>SUBTOTAL(9,F33:F34)</f>
        <v>1.6340739571739724</v>
      </c>
    </row>
    <row r="33" spans="1:8" x14ac:dyDescent="0.25">
      <c r="A33" s="52">
        <f>A32+0.1</f>
        <v>1.1000000000000001</v>
      </c>
      <c r="B33" s="36" t="s">
        <v>16</v>
      </c>
      <c r="C33" s="53">
        <v>15000</v>
      </c>
      <c r="D33" s="54">
        <v>1</v>
      </c>
      <c r="E33" s="54">
        <v>100</v>
      </c>
      <c r="F33" s="55">
        <f>$C33*((1+$F$30)^$E33-1)/(((1+$F$30)^D33-1)*(1+$F$30)^$E33)/1000000</f>
        <v>0.54921157896718642</v>
      </c>
      <c r="H33" s="30"/>
    </row>
    <row r="34" spans="1:8" x14ac:dyDescent="0.25">
      <c r="A34" s="52">
        <f>A33+0.1</f>
        <v>1.2000000000000002</v>
      </c>
      <c r="B34" s="36" t="s">
        <v>19</v>
      </c>
      <c r="C34" s="53">
        <v>60000</v>
      </c>
      <c r="D34" s="54">
        <v>2</v>
      </c>
      <c r="E34" s="54">
        <v>100</v>
      </c>
      <c r="F34" s="55">
        <f>$C34*((1+$F$30)^$E34-1)/(((1+$F$30)^D34-1)*(1+$F$30)^$E34)/1000000</f>
        <v>1.0848623782067861</v>
      </c>
      <c r="H34" s="30"/>
    </row>
    <row r="35" spans="1:8" s="28" customFormat="1" ht="15" x14ac:dyDescent="0.25">
      <c r="A35" s="31">
        <v>2</v>
      </c>
      <c r="B35" s="32" t="s">
        <v>20</v>
      </c>
      <c r="C35" s="56"/>
      <c r="D35" s="57"/>
      <c r="E35" s="57"/>
      <c r="F35" s="35">
        <f>SUBTOTAL(9,F36)</f>
        <v>3.1559993288138667E-2</v>
      </c>
    </row>
    <row r="36" spans="1:8" ht="25.5" x14ac:dyDescent="0.25">
      <c r="A36" s="52">
        <f>A35+0.1</f>
        <v>2.1</v>
      </c>
      <c r="B36" s="38" t="s">
        <v>92</v>
      </c>
      <c r="C36" s="53">
        <v>20000</v>
      </c>
      <c r="D36" s="54">
        <v>10</v>
      </c>
      <c r="E36" s="54">
        <v>100</v>
      </c>
      <c r="F36" s="55">
        <f>$C36*((1+$F$20)^$E36-1)/(((1+$F$20)^D36-1)*(1+$F$20)^$E36)/1000000</f>
        <v>3.1559993288138667E-2</v>
      </c>
      <c r="G36" s="80"/>
      <c r="H36" s="30"/>
    </row>
    <row r="37" spans="1:8" x14ac:dyDescent="0.25">
      <c r="A37" s="42" t="s">
        <v>14</v>
      </c>
      <c r="B37" s="43"/>
      <c r="C37" s="44"/>
      <c r="D37" s="43"/>
      <c r="E37" s="43"/>
      <c r="F37" s="45">
        <f>SUBTOTAL(9,F32:F36)</f>
        <v>1.6656339504621112</v>
      </c>
      <c r="G37" s="80"/>
      <c r="H37" s="30"/>
    </row>
    <row r="38" spans="1:8" x14ac:dyDescent="0.25">
      <c r="A38" s="39"/>
      <c r="B38" s="36"/>
      <c r="C38" s="40"/>
      <c r="D38" s="36"/>
      <c r="E38" s="36"/>
      <c r="F38" s="41"/>
    </row>
    <row r="39" spans="1:8" s="28" customFormat="1" ht="15" x14ac:dyDescent="0.25">
      <c r="A39" s="73" t="str">
        <f>"Total Estimated Operational Costs (Over " &amp; TEXT(100,"0") &amp; "-Year Period)"</f>
        <v>Total Estimated Operational Costs (Over 100-Year Period)</v>
      </c>
      <c r="B39" s="74"/>
      <c r="C39" s="75"/>
      <c r="D39" s="74"/>
      <c r="E39" s="74"/>
      <c r="F39" s="76">
        <f>SUM(F37:F38)</f>
        <v>1.6656339504621112</v>
      </c>
    </row>
    <row r="40" spans="1:8" s="28" customFormat="1" ht="15" x14ac:dyDescent="0.25">
      <c r="A40" s="73" t="s">
        <v>41</v>
      </c>
      <c r="B40" s="74"/>
      <c r="C40" s="75"/>
      <c r="D40" s="74"/>
      <c r="E40" s="74"/>
      <c r="F40" s="79">
        <f>F39*F30*(1+F30)^100/((1+F30)^100-1)</f>
        <v>4.5491592336629333E-2</v>
      </c>
    </row>
    <row r="42" spans="1:8" s="28" customFormat="1" ht="15.75" x14ac:dyDescent="0.25">
      <c r="A42" s="58" t="str">
        <f>"Total Estimated Lifecycle Costs (Over " &amp; TEXT(100,"0") &amp; "-Year Period)"</f>
        <v>Total Estimated Lifecycle Costs (Over 100-Year Period)</v>
      </c>
      <c r="B42" s="66"/>
      <c r="C42" s="67"/>
      <c r="D42" s="66"/>
      <c r="E42" s="66"/>
      <c r="F42" s="68">
        <f>F28+F39</f>
        <v>36.691008950462106</v>
      </c>
    </row>
    <row r="43" spans="1:8" x14ac:dyDescent="0.25">
      <c r="A43" s="111" t="s">
        <v>96</v>
      </c>
      <c r="B43" s="111"/>
      <c r="C43" s="111"/>
      <c r="D43" s="111"/>
      <c r="E43" s="111"/>
      <c r="F43" s="111"/>
    </row>
    <row r="44" spans="1:8" s="27" customFormat="1" ht="15.75" x14ac:dyDescent="0.25">
      <c r="A44" s="112"/>
      <c r="B44" s="112"/>
      <c r="C44" s="112"/>
      <c r="D44" s="112"/>
      <c r="E44" s="112"/>
      <c r="F44" s="112"/>
      <c r="G44" s="80"/>
    </row>
    <row r="45" spans="1:8" x14ac:dyDescent="0.25">
      <c r="C45" s="77"/>
    </row>
    <row r="46" spans="1:8" x14ac:dyDescent="0.25">
      <c r="C46" s="77"/>
    </row>
  </sheetData>
  <mergeCells count="3">
    <mergeCell ref="E6:F6"/>
    <mergeCell ref="A43:F44"/>
    <mergeCell ref="E7:F7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MTO &amp; Cap Costs</vt:lpstr>
      <vt:lpstr>WC-A</vt:lpstr>
      <vt:lpstr>WC-B</vt:lpstr>
      <vt:lpstr>WC-C</vt:lpstr>
      <vt:lpstr>WC-D</vt:lpstr>
      <vt:lpstr>WC-D2</vt:lpstr>
      <vt:lpstr>WC-E</vt:lpstr>
      <vt:lpstr>WC-E2</vt:lpstr>
      <vt:lpstr>'MTO &amp; Cap Costs'!Print_Area</vt:lpstr>
      <vt:lpstr>'WC-A'!Print_Area</vt:lpstr>
      <vt:lpstr>'WC-B'!Print_Area</vt:lpstr>
      <vt:lpstr>'WC-C'!Print_Area</vt:lpstr>
      <vt:lpstr>'WC-D'!Print_Area</vt:lpstr>
      <vt:lpstr>'WC-D2'!Print_Area</vt:lpstr>
      <vt:lpstr>'WC-E'!Print_Area</vt:lpstr>
      <vt:lpstr>'WC-E2'!Print_Area</vt:lpstr>
    </vt:vector>
  </TitlesOfParts>
  <Company>WorleyParsons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Stephen J. (Vancouver)</dc:creator>
  <cp:lastModifiedBy>Clark, Stephen J. (Vancouver)</cp:lastModifiedBy>
  <cp:lastPrinted>2014-03-28T17:32:37Z</cp:lastPrinted>
  <dcterms:created xsi:type="dcterms:W3CDTF">2013-11-07T17:22:07Z</dcterms:created>
  <dcterms:modified xsi:type="dcterms:W3CDTF">2014-03-28T17:35:30Z</dcterms:modified>
</cp:coreProperties>
</file>