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lin.dreger\Desktop\Projects\ENG.WARC\ENG.WARC03039-01 Clinton Creek Asbestos Mine\Survey Data Summary\"/>
    </mc:Choice>
  </mc:AlternateContent>
  <bookViews>
    <workbookView xWindow="0" yWindow="0" windowWidth="28800" windowHeight="13020" activeTab="3"/>
  </bookViews>
  <sheets>
    <sheet name="SUMMARY" sheetId="8" r:id="rId1"/>
    <sheet name="Upper Slope" sheetId="7" r:id="rId2"/>
    <sheet name="Mid Slope" sheetId="3" r:id="rId3"/>
    <sheet name="Lower Slope" sheetId="6" r:id="rId4"/>
  </sheets>
  <externalReferences>
    <externalReference r:id="rId5"/>
  </externalReferences>
  <definedNames>
    <definedName name="Depth" localSheetId="3">#REF!</definedName>
    <definedName name="Depth" localSheetId="2">#REF!</definedName>
    <definedName name="Depth" localSheetId="1">#REF!</definedName>
    <definedName name="Depth">#REF!</definedName>
    <definedName name="Matrix" localSheetId="3">#REF!</definedName>
    <definedName name="Matrix" localSheetId="2">#REF!</definedName>
    <definedName name="Matrix" localSheetId="1">#REF!</definedName>
    <definedName name="Matrix">#REF!</definedName>
    <definedName name="_xlnm.Print_Area" localSheetId="0">SUMMARY!$A$1:$J$32</definedName>
    <definedName name="_xlnm.Print_Titles" localSheetId="3">'Lower Slope'!$1:$3</definedName>
    <definedName name="_xlnm.Print_Titles" localSheetId="2">'Mid Slope'!$1:$3</definedName>
    <definedName name="_xlnm.Print_Titles" localSheetId="1">'Upper Slope'!$1:$3</definedName>
    <definedName name="Site" localSheetId="3">#REF!</definedName>
    <definedName name="Site" localSheetId="2">#REF!</definedName>
    <definedName name="Site" localSheetId="1">#REF!</definedName>
    <definedName name="Site">#REF!</definedName>
    <definedName name="Time" localSheetId="3">#REF!</definedName>
    <definedName name="Time" localSheetId="2">#REF!</definedName>
    <definedName name="Time" localSheetId="1">#REF!</definedName>
    <definedName name="Time">#REF!</definedName>
    <definedName name="Type" localSheetId="3">#REF!</definedName>
    <definedName name="Type" localSheetId="2">#REF!</definedName>
    <definedName name="Type" localSheetId="1">#REF!</definedName>
    <definedName name="Typ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8" l="1"/>
  <c r="I26" i="8"/>
  <c r="G26" i="8"/>
  <c r="F26" i="8"/>
  <c r="H26" i="8"/>
  <c r="H25" i="8"/>
  <c r="E25" i="8"/>
  <c r="E26" i="8"/>
  <c r="E26" i="3"/>
  <c r="J110" i="6"/>
  <c r="K110" i="6" s="1"/>
  <c r="I110" i="6"/>
  <c r="H110" i="6"/>
  <c r="G110" i="6"/>
  <c r="F110" i="6"/>
  <c r="J79" i="6"/>
  <c r="K79" i="6" s="1"/>
  <c r="I79" i="6"/>
  <c r="G79" i="6"/>
  <c r="H79" i="6" s="1"/>
  <c r="F79" i="6"/>
  <c r="J100" i="6"/>
  <c r="K100" i="6" s="1"/>
  <c r="I100" i="6"/>
  <c r="G100" i="6"/>
  <c r="H100" i="6" s="1"/>
  <c r="F100" i="6"/>
  <c r="K90" i="6"/>
  <c r="J90" i="6"/>
  <c r="I90" i="6"/>
  <c r="G90" i="6"/>
  <c r="F90" i="6" s="1"/>
  <c r="J68" i="6"/>
  <c r="K68" i="6" s="1"/>
  <c r="I68" i="6"/>
  <c r="H68" i="6"/>
  <c r="G68" i="6"/>
  <c r="F68" i="6" s="1"/>
  <c r="J58" i="6"/>
  <c r="K58" i="6" s="1"/>
  <c r="I58" i="6"/>
  <c r="H58" i="6"/>
  <c r="G58" i="6"/>
  <c r="F58" i="6" s="1"/>
  <c r="J47" i="6"/>
  <c r="K47" i="6" s="1"/>
  <c r="I47" i="6"/>
  <c r="H47" i="6"/>
  <c r="G47" i="6"/>
  <c r="F47" i="6"/>
  <c r="J23" i="6"/>
  <c r="K23" i="6" s="1"/>
  <c r="I23" i="6"/>
  <c r="H23" i="6"/>
  <c r="G23" i="6"/>
  <c r="F23" i="6"/>
  <c r="J204" i="3"/>
  <c r="K204" i="3" s="1"/>
  <c r="I204" i="3"/>
  <c r="G204" i="3"/>
  <c r="H204" i="3" s="1"/>
  <c r="K203" i="3"/>
  <c r="J203" i="3"/>
  <c r="I203" i="3"/>
  <c r="G203" i="3"/>
  <c r="F203" i="3" s="1"/>
  <c r="F204" i="3" s="1"/>
  <c r="J193" i="3"/>
  <c r="K193" i="3" s="1"/>
  <c r="H193" i="3"/>
  <c r="G193" i="3"/>
  <c r="J192" i="3"/>
  <c r="I192" i="3" s="1"/>
  <c r="I193" i="3" s="1"/>
  <c r="G192" i="3"/>
  <c r="H192" i="3" s="1"/>
  <c r="F192" i="3"/>
  <c r="F193" i="3" s="1"/>
  <c r="J169" i="3"/>
  <c r="K169" i="3" s="1"/>
  <c r="I169" i="3"/>
  <c r="G169" i="3"/>
  <c r="H169" i="3" s="1"/>
  <c r="K168" i="3"/>
  <c r="J168" i="3"/>
  <c r="I168" i="3"/>
  <c r="G168" i="3"/>
  <c r="H168" i="3" s="1"/>
  <c r="J145" i="3"/>
  <c r="K145" i="3" s="1"/>
  <c r="H145" i="3"/>
  <c r="G145" i="3"/>
  <c r="J144" i="3"/>
  <c r="I144" i="3" s="1"/>
  <c r="I145" i="3" s="1"/>
  <c r="G144" i="3"/>
  <c r="H144" i="3" s="1"/>
  <c r="F144" i="3"/>
  <c r="F145" i="3" s="1"/>
  <c r="J124" i="3"/>
  <c r="K124" i="3" s="1"/>
  <c r="I124" i="3"/>
  <c r="G124" i="3"/>
  <c r="H124" i="3" s="1"/>
  <c r="K123" i="3"/>
  <c r="J123" i="3"/>
  <c r="I123" i="3"/>
  <c r="G123" i="3"/>
  <c r="F123" i="3" s="1"/>
  <c r="F124" i="3" s="1"/>
  <c r="K100" i="3"/>
  <c r="J100" i="3"/>
  <c r="G100" i="3"/>
  <c r="H100" i="3" s="1"/>
  <c r="J99" i="3"/>
  <c r="K99" i="3" s="1"/>
  <c r="I99" i="3"/>
  <c r="I100" i="3" s="1"/>
  <c r="G99" i="3"/>
  <c r="H99" i="3" s="1"/>
  <c r="F99" i="3"/>
  <c r="F100" i="3" s="1"/>
  <c r="K76" i="3"/>
  <c r="J76" i="3"/>
  <c r="G76" i="3"/>
  <c r="H76" i="3" s="1"/>
  <c r="J75" i="3"/>
  <c r="K75" i="3" s="1"/>
  <c r="I75" i="3"/>
  <c r="I76" i="3" s="1"/>
  <c r="G75" i="3"/>
  <c r="H75" i="3" s="1"/>
  <c r="F75" i="3"/>
  <c r="F76" i="3" s="1"/>
  <c r="J52" i="3"/>
  <c r="K52" i="3" s="1"/>
  <c r="I52" i="3"/>
  <c r="G52" i="3"/>
  <c r="H52" i="3" s="1"/>
  <c r="K51" i="3"/>
  <c r="J51" i="3"/>
  <c r="I51" i="3"/>
  <c r="G51" i="3"/>
  <c r="H51" i="3" s="1"/>
  <c r="J41" i="3"/>
  <c r="K41" i="3" s="1"/>
  <c r="G41" i="3"/>
  <c r="H41" i="3" s="1"/>
  <c r="K40" i="3"/>
  <c r="J40" i="3"/>
  <c r="I40" i="3"/>
  <c r="I41" i="3" s="1"/>
  <c r="G40" i="3"/>
  <c r="H40" i="3" s="1"/>
  <c r="I22" i="3"/>
  <c r="I23" i="3" s="1"/>
  <c r="F23" i="3"/>
  <c r="F22" i="3"/>
  <c r="K23" i="3"/>
  <c r="J23" i="3"/>
  <c r="H23" i="3"/>
  <c r="G23" i="3"/>
  <c r="K22" i="3"/>
  <c r="J22" i="3"/>
  <c r="H22" i="3"/>
  <c r="G22" i="3"/>
  <c r="H90" i="6" l="1"/>
  <c r="H203" i="3"/>
  <c r="K192" i="3"/>
  <c r="F168" i="3"/>
  <c r="F169" i="3" s="1"/>
  <c r="K144" i="3"/>
  <c r="H123" i="3"/>
  <c r="F51" i="3"/>
  <c r="F52" i="3" s="1"/>
  <c r="F40" i="3"/>
  <c r="F41" i="3" s="1"/>
  <c r="D27" i="8" l="1"/>
  <c r="C27" i="8"/>
  <c r="B27" i="8"/>
  <c r="D26" i="8"/>
  <c r="C26" i="8"/>
  <c r="B26" i="8"/>
  <c r="J25" i="8"/>
  <c r="I25" i="8"/>
  <c r="G25" i="8"/>
  <c r="F25" i="8"/>
  <c r="D25" i="8"/>
  <c r="C25" i="8"/>
  <c r="B25" i="8"/>
  <c r="J24" i="8"/>
  <c r="I24" i="8"/>
  <c r="H24" i="8"/>
  <c r="G24" i="8"/>
  <c r="F24" i="8"/>
  <c r="E24" i="8"/>
  <c r="D24" i="8"/>
  <c r="C24" i="8"/>
  <c r="B24" i="8"/>
  <c r="J23" i="8"/>
  <c r="I23" i="8"/>
  <c r="H23" i="8"/>
  <c r="G23" i="8"/>
  <c r="F23" i="8"/>
  <c r="E23" i="8"/>
  <c r="D23" i="8"/>
  <c r="C23" i="8"/>
  <c r="B23" i="8"/>
  <c r="J22" i="8"/>
  <c r="I22" i="8"/>
  <c r="H22" i="8"/>
  <c r="G22" i="8"/>
  <c r="F22" i="8"/>
  <c r="E22" i="8"/>
  <c r="D22" i="8"/>
  <c r="C22" i="8"/>
  <c r="B22" i="8"/>
  <c r="J21" i="8"/>
  <c r="I21" i="8"/>
  <c r="H21" i="8"/>
  <c r="G21" i="8"/>
  <c r="F21" i="8"/>
  <c r="E21" i="8"/>
  <c r="D21" i="8"/>
  <c r="C21" i="8"/>
  <c r="B21" i="8"/>
  <c r="J20" i="8"/>
  <c r="I20" i="8"/>
  <c r="H20" i="8"/>
  <c r="G20" i="8"/>
  <c r="F20" i="8"/>
  <c r="E20" i="8"/>
  <c r="D20" i="8"/>
  <c r="C20" i="8"/>
  <c r="B20" i="8"/>
  <c r="J19" i="8"/>
  <c r="I19" i="8"/>
  <c r="H19" i="8"/>
  <c r="G19" i="8"/>
  <c r="F19" i="8"/>
  <c r="E19" i="8"/>
  <c r="D19" i="8"/>
  <c r="C19" i="8"/>
  <c r="B19" i="8"/>
  <c r="J18" i="8"/>
  <c r="I18" i="8"/>
  <c r="H18" i="8"/>
  <c r="G18" i="8"/>
  <c r="F18" i="8"/>
  <c r="E18" i="8"/>
  <c r="D18" i="8"/>
  <c r="C18" i="8"/>
  <c r="B18" i="8"/>
  <c r="J17" i="8"/>
  <c r="I17" i="8"/>
  <c r="H17" i="8"/>
  <c r="G17" i="8"/>
  <c r="F17" i="8"/>
  <c r="E17" i="8"/>
  <c r="D17" i="8"/>
  <c r="C17" i="8"/>
  <c r="B17" i="8"/>
  <c r="G13" i="8"/>
  <c r="F13" i="8"/>
  <c r="E13" i="8"/>
  <c r="D13" i="8"/>
  <c r="C13" i="8"/>
  <c r="B13" i="8"/>
  <c r="G12" i="8"/>
  <c r="F12" i="8"/>
  <c r="E12" i="8"/>
  <c r="D12" i="8"/>
  <c r="C12" i="8"/>
  <c r="B12" i="8"/>
  <c r="G11" i="8"/>
  <c r="F11" i="8"/>
  <c r="E11" i="8"/>
  <c r="D11" i="8"/>
  <c r="C11" i="8"/>
  <c r="B11" i="8"/>
  <c r="G10" i="8"/>
  <c r="F10" i="8"/>
  <c r="E10" i="8"/>
  <c r="D10" i="8"/>
  <c r="C10" i="8"/>
  <c r="B10" i="8"/>
  <c r="G9" i="8"/>
  <c r="F9" i="8"/>
  <c r="E9" i="8"/>
  <c r="D9" i="8"/>
  <c r="C9" i="8"/>
  <c r="B9" i="8"/>
  <c r="G8" i="8"/>
  <c r="F8" i="8"/>
  <c r="E8" i="8"/>
  <c r="D8" i="8"/>
  <c r="C8" i="8"/>
  <c r="B8" i="8"/>
  <c r="G7" i="8"/>
  <c r="F7" i="8"/>
  <c r="E7" i="8"/>
  <c r="D7" i="8"/>
  <c r="C7" i="8"/>
  <c r="B7" i="8"/>
  <c r="J6" i="8"/>
  <c r="I6" i="8"/>
  <c r="H6" i="8"/>
  <c r="G6" i="8"/>
  <c r="F6" i="8"/>
  <c r="E6" i="8"/>
  <c r="D6" i="8"/>
  <c r="C6" i="8"/>
  <c r="B6" i="8"/>
  <c r="J5" i="8"/>
  <c r="I5" i="8"/>
  <c r="H5" i="8"/>
  <c r="G5" i="8"/>
  <c r="F5" i="8"/>
  <c r="E5" i="8"/>
  <c r="D5" i="8"/>
  <c r="C5" i="8"/>
  <c r="B5" i="8"/>
  <c r="C32" i="6" l="1"/>
  <c r="D32" i="6"/>
  <c r="C33" i="6"/>
  <c r="D33" i="6"/>
  <c r="C36" i="6"/>
  <c r="D36" i="6"/>
  <c r="H40" i="7" l="1"/>
  <c r="D12" i="6" l="1"/>
  <c r="D9" i="6"/>
  <c r="D8" i="6"/>
  <c r="C12" i="6"/>
  <c r="C9" i="6"/>
  <c r="C8" i="6"/>
  <c r="D182" i="3"/>
  <c r="D179" i="3"/>
  <c r="D178" i="3"/>
  <c r="C182" i="3"/>
  <c r="C179" i="3"/>
  <c r="C178" i="3"/>
  <c r="D158" i="3"/>
  <c r="C158" i="3"/>
  <c r="D155" i="3"/>
  <c r="D154" i="3"/>
  <c r="C155" i="3"/>
  <c r="C154" i="3"/>
  <c r="D134" i="3"/>
  <c r="D133" i="3"/>
  <c r="C134" i="3"/>
  <c r="C133" i="3"/>
  <c r="D113" i="3"/>
  <c r="D110" i="3"/>
  <c r="D109" i="3"/>
  <c r="C113" i="3"/>
  <c r="C110" i="3"/>
  <c r="C109" i="3"/>
  <c r="D89" i="3"/>
  <c r="D86" i="3"/>
  <c r="D85" i="3"/>
  <c r="C89" i="3"/>
  <c r="C86" i="3"/>
  <c r="C85" i="3"/>
  <c r="D65" i="3"/>
  <c r="D62" i="3"/>
  <c r="D61" i="3"/>
  <c r="C65" i="3"/>
  <c r="C62" i="3"/>
  <c r="C61" i="3"/>
  <c r="D30" i="3"/>
  <c r="D27" i="3"/>
  <c r="D26" i="3"/>
  <c r="C30" i="3"/>
  <c r="C27" i="3"/>
  <c r="C26" i="3"/>
  <c r="D12" i="3"/>
  <c r="D9" i="3"/>
  <c r="D8" i="3"/>
  <c r="C12" i="3"/>
  <c r="C9" i="3"/>
  <c r="C8" i="3"/>
  <c r="D92" i="7"/>
  <c r="D91" i="7"/>
  <c r="C92" i="7"/>
  <c r="C91" i="7"/>
  <c r="D71" i="7"/>
  <c r="D70" i="7"/>
  <c r="C71" i="7"/>
  <c r="C70" i="7"/>
  <c r="D46" i="7"/>
  <c r="D45" i="7"/>
  <c r="C46" i="7"/>
  <c r="C45" i="7"/>
  <c r="D24" i="7" l="1"/>
  <c r="C24" i="7"/>
  <c r="F14" i="7" l="1"/>
  <c r="F15" i="7" s="1"/>
  <c r="H14" i="7"/>
  <c r="H15" i="7"/>
  <c r="F39" i="7"/>
  <c r="F40" i="7" s="1"/>
  <c r="H39" i="7"/>
  <c r="F60" i="7"/>
  <c r="F61" i="7" s="1"/>
  <c r="H60" i="7"/>
  <c r="H61" i="7"/>
  <c r="F85" i="7"/>
  <c r="F86" i="7" s="1"/>
  <c r="H85" i="7"/>
  <c r="H86" i="7"/>
  <c r="F106" i="7"/>
  <c r="F107" i="7" s="1"/>
  <c r="H106" i="7"/>
  <c r="H107" i="7"/>
  <c r="F118" i="7"/>
  <c r="F119" i="7" s="1"/>
  <c r="H118" i="7"/>
  <c r="H119" i="7"/>
  <c r="F130" i="7"/>
  <c r="H130" i="7"/>
  <c r="F131" i="7"/>
  <c r="H131" i="7"/>
</calcChain>
</file>

<file path=xl/sharedStrings.xml><?xml version="1.0" encoding="utf-8"?>
<sst xmlns="http://schemas.openxmlformats.org/spreadsheetml/2006/main" count="170" uniqueCount="78">
  <si>
    <t>Horizontal Movement</t>
  </si>
  <si>
    <t>Vertical Movement</t>
  </si>
  <si>
    <t>Rate (metres/year)</t>
  </si>
  <si>
    <t>Incremental (metres)</t>
  </si>
  <si>
    <t>Monitor ID</t>
  </si>
  <si>
    <t>UTM Coordinates</t>
  </si>
  <si>
    <t>Date</t>
  </si>
  <si>
    <t>Cumulative (metres)</t>
  </si>
  <si>
    <t xml:space="preserve">80-4 </t>
  </si>
  <si>
    <t xml:space="preserve">80-5 </t>
  </si>
  <si>
    <t xml:space="preserve">500-1 </t>
  </si>
  <si>
    <t xml:space="preserve">650-1 </t>
  </si>
  <si>
    <t xml:space="preserve">350-1A </t>
  </si>
  <si>
    <t xml:space="preserve">500-2 </t>
  </si>
  <si>
    <t>Summer 1978</t>
  </si>
  <si>
    <t>Winter 1978/79</t>
  </si>
  <si>
    <t>Summer 1979</t>
  </si>
  <si>
    <t>Winter1979/80</t>
  </si>
  <si>
    <t>Summer 1980</t>
  </si>
  <si>
    <t>Winter 1980/81</t>
  </si>
  <si>
    <t>80-2</t>
  </si>
  <si>
    <t>26-A</t>
  </si>
  <si>
    <t>80-1</t>
  </si>
  <si>
    <t>BH-14 (T7)</t>
  </si>
  <si>
    <t xml:space="preserve">650-2 </t>
  </si>
  <si>
    <t xml:space="preserve">350-2A </t>
  </si>
  <si>
    <t>Elevation (metres)</t>
  </si>
  <si>
    <r>
      <rPr>
        <sz val="11"/>
        <rFont val="Calibri"/>
        <family val="2"/>
        <scheme val="minor"/>
      </rPr>
      <t>Easting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(metres)</t>
    </r>
  </si>
  <si>
    <r>
      <rPr>
        <sz val="11"/>
        <rFont val="Calibri"/>
        <family val="2"/>
        <scheme val="minor"/>
      </rPr>
      <t>Northing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(metres)</t>
    </r>
  </si>
  <si>
    <t>Northing (metres)</t>
  </si>
  <si>
    <t>80-7</t>
  </si>
  <si>
    <t>350-3A</t>
  </si>
  <si>
    <t>NL-1</t>
  </si>
  <si>
    <t>NL-3</t>
  </si>
  <si>
    <t>NL-4</t>
  </si>
  <si>
    <t>NL-5</t>
  </si>
  <si>
    <t>1083 (NL-2)</t>
  </si>
  <si>
    <t xml:space="preserve">7148249. 90 </t>
  </si>
  <si>
    <t>NL-2</t>
  </si>
  <si>
    <t>Monitoring Period</t>
  </si>
  <si>
    <t>Annual Horizontal Movement Rates (m/year)</t>
  </si>
  <si>
    <t>Upper</t>
  </si>
  <si>
    <t xml:space="preserve">Mid </t>
  </si>
  <si>
    <t>Lower</t>
  </si>
  <si>
    <t>Avg.</t>
  </si>
  <si>
    <t>Max.</t>
  </si>
  <si>
    <t>Min.</t>
  </si>
  <si>
    <t>Summer 78 to Winter 79</t>
  </si>
  <si>
    <t>Summer 79 to Winter 80</t>
  </si>
  <si>
    <t>July 80 To Aug 81</t>
  </si>
  <si>
    <t>Aug 81 to June 82</t>
  </si>
  <si>
    <t>June 82 to June 83</t>
  </si>
  <si>
    <t>June 83 to Sept 83</t>
  </si>
  <si>
    <t>Sept 83 to June 84</t>
  </si>
  <si>
    <t>June 84 to June 85</t>
  </si>
  <si>
    <t>June 85 to July 86</t>
  </si>
  <si>
    <t>July 86 to 1999</t>
  </si>
  <si>
    <t>1999 to 2001</t>
  </si>
  <si>
    <t>2001 to 2003</t>
  </si>
  <si>
    <t>Aug 2003 to July 2004</t>
  </si>
  <si>
    <t>July 2004 to Sept 2004</t>
  </si>
  <si>
    <t>Sept 2004 to Sept 2005</t>
  </si>
  <si>
    <t>Sept 2005 to July 2006</t>
  </si>
  <si>
    <t>July 2006 to July 2008</t>
  </si>
  <si>
    <t>July 2008 to July 2010</t>
  </si>
  <si>
    <t>July 2010 to Sept 2010</t>
  </si>
  <si>
    <t>Sept 2010 to Aug 2011</t>
  </si>
  <si>
    <t>Aug 2011 to Aug 2012</t>
  </si>
  <si>
    <t>Aug 2012 to Sept 2014</t>
  </si>
  <si>
    <t>Sept 2014 to Sept 2015</t>
  </si>
  <si>
    <t xml:space="preserve">Note: Monitoring Points vary throughout the years, as some were replaced, new ones were added, etc. </t>
  </si>
  <si>
    <t>-no survey between 1986 and 1999, or in 2013</t>
  </si>
  <si>
    <t>-blank cells are a result of no available data</t>
  </si>
  <si>
    <t>WOLVERINE TAILINGS PILE - NORTH LOBE - SUMMARY OF HISTORICAL MOVEMENT DATA</t>
  </si>
  <si>
    <t>WOLVERINE TAILINGS PILE SURVEY DATA - NORTH LOBE - UPPER SLOPE</t>
  </si>
  <si>
    <t>WOLVERINE TAILINGS PILE SURVEY DATA - NORTH LOBE - MID SLOPE</t>
  </si>
  <si>
    <t>WOLVERINE TAILINGS PILE SURVEY DATA - NORTH LOBE - LOWER SLOPE</t>
  </si>
  <si>
    <r>
      <t xml:space="preserve">-values in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indicate that data was not available and was calculated based on reported survey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</si>
</sst>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12">
    <xf numFmtId="0" fontId="0" fillId="0" borderId="0" xfId="0"/>
    <xf numFmtId="0" fontId="1" fillId="0" borderId="0" xfId="1"/>
    <xf numFmtId="0" fontId="1" fillId="0" borderId="0" xfId="1" applyFont="1"/>
    <xf numFmtId="1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" fontId="0" fillId="0" borderId="0" xfId="0" applyNumberFormat="1"/>
    <xf numFmtId="0" fontId="7" fillId="0" borderId="4" xfId="1" applyFont="1" applyBorder="1" applyAlignment="1">
      <alignment horizontal="center" vertical="center" wrapText="1"/>
    </xf>
    <xf numFmtId="0" fontId="9" fillId="0" borderId="0" xfId="1" applyFont="1"/>
    <xf numFmtId="0" fontId="9" fillId="0" borderId="0" xfId="1" applyFont="1" applyBorder="1"/>
    <xf numFmtId="0" fontId="1" fillId="0" borderId="5" xfId="1" applyBorder="1"/>
    <xf numFmtId="0" fontId="1" fillId="0" borderId="0" xfId="1" applyBorder="1"/>
    <xf numFmtId="0" fontId="1" fillId="0" borderId="2" xfId="1" applyBorder="1"/>
    <xf numFmtId="0" fontId="1" fillId="0" borderId="6" xfId="1" applyBorder="1"/>
    <xf numFmtId="15" fontId="7" fillId="0" borderId="19" xfId="1" applyNumberFormat="1" applyFont="1" applyBorder="1" applyAlignment="1">
      <alignment horizontal="center" vertical="center" wrapText="1"/>
    </xf>
    <xf numFmtId="15" fontId="7" fillId="0" borderId="20" xfId="1" applyNumberFormat="1" applyFont="1" applyBorder="1" applyAlignment="1">
      <alignment horizontal="center" vertical="center" wrapText="1"/>
    </xf>
    <xf numFmtId="15" fontId="7" fillId="0" borderId="21" xfId="1" applyNumberFormat="1" applyFont="1" applyBorder="1" applyAlignment="1">
      <alignment horizontal="center" vertical="center" wrapText="1"/>
    </xf>
    <xf numFmtId="15" fontId="7" fillId="0" borderId="22" xfId="1" applyNumberFormat="1" applyFont="1" applyBorder="1" applyAlignment="1">
      <alignment horizontal="center" vertical="center" wrapText="1"/>
    </xf>
    <xf numFmtId="15" fontId="7" fillId="0" borderId="23" xfId="1" applyNumberFormat="1" applyFont="1" applyBorder="1" applyAlignment="1">
      <alignment horizontal="center" vertical="center" wrapText="1"/>
    </xf>
    <xf numFmtId="15" fontId="3" fillId="0" borderId="23" xfId="0" applyNumberFormat="1" applyFont="1" applyBorder="1" applyAlignment="1">
      <alignment horizontal="center" vertical="center"/>
    </xf>
    <xf numFmtId="15" fontId="3" fillId="0" borderId="24" xfId="0" applyNumberFormat="1" applyFont="1" applyBorder="1" applyAlignment="1">
      <alignment horizontal="center" vertical="center"/>
    </xf>
    <xf numFmtId="15" fontId="3" fillId="0" borderId="22" xfId="0" applyNumberFormat="1" applyFont="1" applyBorder="1" applyAlignment="1">
      <alignment horizontal="center" vertical="center"/>
    </xf>
    <xf numFmtId="15" fontId="7" fillId="0" borderId="23" xfId="0" applyNumberFormat="1" applyFont="1" applyBorder="1" applyAlignment="1">
      <alignment horizontal="center" vertical="center"/>
    </xf>
    <xf numFmtId="15" fontId="7" fillId="0" borderId="24" xfId="1" applyNumberFormat="1" applyFont="1" applyBorder="1" applyAlignment="1">
      <alignment horizontal="center" vertical="center" wrapText="1"/>
    </xf>
    <xf numFmtId="0" fontId="1" fillId="0" borderId="0" xfId="1" applyFont="1" applyAlignment="1">
      <alignment horizontal="right" vertical="center"/>
    </xf>
    <xf numFmtId="2" fontId="7" fillId="0" borderId="25" xfId="1" applyNumberFormat="1" applyFont="1" applyBorder="1" applyAlignment="1">
      <alignment horizontal="center" vertical="center" wrapText="1"/>
    </xf>
    <xf numFmtId="2" fontId="7" fillId="0" borderId="10" xfId="1" applyNumberFormat="1" applyFont="1" applyBorder="1" applyAlignment="1">
      <alignment horizontal="center" vertical="center" wrapText="1"/>
    </xf>
    <xf numFmtId="2" fontId="7" fillId="0" borderId="11" xfId="1" applyNumberFormat="1" applyFont="1" applyBorder="1" applyAlignment="1">
      <alignment horizontal="center" vertical="center" wrapText="1"/>
    </xf>
    <xf numFmtId="2" fontId="7" fillId="0" borderId="12" xfId="1" applyNumberFormat="1" applyFont="1" applyBorder="1" applyAlignment="1">
      <alignment horizontal="center" vertical="center" wrapText="1"/>
    </xf>
    <xf numFmtId="2" fontId="7" fillId="0" borderId="26" xfId="1" applyNumberFormat="1" applyFont="1" applyBorder="1" applyAlignment="1">
      <alignment horizontal="center" vertical="center" wrapText="1"/>
    </xf>
    <xf numFmtId="2" fontId="7" fillId="0" borderId="13" xfId="1" applyNumberFormat="1" applyFont="1" applyBorder="1" applyAlignment="1">
      <alignment horizontal="center" vertical="center" wrapText="1"/>
    </xf>
    <xf numFmtId="2" fontId="7" fillId="0" borderId="14" xfId="1" applyNumberFormat="1" applyFont="1" applyBorder="1" applyAlignment="1">
      <alignment horizontal="center" vertical="center" wrapText="1"/>
    </xf>
    <xf numFmtId="2" fontId="7" fillId="0" borderId="15" xfId="1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7" fillId="0" borderId="27" xfId="1" applyNumberFormat="1" applyFont="1" applyBorder="1" applyAlignment="1">
      <alignment horizontal="center" vertical="center" wrapText="1"/>
    </xf>
    <xf numFmtId="2" fontId="7" fillId="0" borderId="17" xfId="1" applyNumberFormat="1" applyFont="1" applyBorder="1" applyAlignment="1">
      <alignment horizontal="center" vertical="center" wrapText="1"/>
    </xf>
    <xf numFmtId="2" fontId="7" fillId="0" borderId="16" xfId="1" applyNumberFormat="1" applyFont="1" applyBorder="1" applyAlignment="1">
      <alignment horizontal="center" vertical="center" wrapText="1"/>
    </xf>
    <xf numFmtId="2" fontId="7" fillId="0" borderId="18" xfId="1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8" fillId="0" borderId="11" xfId="1" applyNumberFormat="1" applyFont="1" applyBorder="1" applyAlignment="1">
      <alignment horizontal="center" vertical="center" wrapText="1"/>
    </xf>
    <xf numFmtId="2" fontId="8" fillId="0" borderId="14" xfId="1" applyNumberFormat="1" applyFont="1" applyBorder="1" applyAlignment="1">
      <alignment horizontal="center" vertical="center" wrapText="1"/>
    </xf>
    <xf numFmtId="2" fontId="9" fillId="0" borderId="14" xfId="1" applyNumberFormat="1" applyFont="1" applyBorder="1" applyAlignment="1">
      <alignment horizontal="center" vertical="center"/>
    </xf>
    <xf numFmtId="2" fontId="9" fillId="0" borderId="14" xfId="1" applyNumberFormat="1" applyFont="1" applyBorder="1" applyAlignment="1">
      <alignment horizontal="center" vertical="center" wrapText="1"/>
    </xf>
    <xf numFmtId="2" fontId="9" fillId="0" borderId="15" xfId="1" applyNumberFormat="1" applyFont="1" applyBorder="1" applyAlignment="1">
      <alignment horizontal="center" vertical="center"/>
    </xf>
    <xf numFmtId="2" fontId="7" fillId="0" borderId="28" xfId="1" applyNumberFormat="1" applyFont="1" applyBorder="1" applyAlignment="1">
      <alignment horizontal="center" vertical="center" wrapText="1"/>
    </xf>
    <xf numFmtId="2" fontId="7" fillId="0" borderId="30" xfId="1" applyNumberFormat="1" applyFont="1" applyBorder="1" applyAlignment="1">
      <alignment horizontal="center" vertical="center" wrapText="1"/>
    </xf>
    <xf numFmtId="2" fontId="9" fillId="0" borderId="11" xfId="1" applyNumberFormat="1" applyFont="1" applyBorder="1" applyAlignment="1">
      <alignment horizontal="center" vertical="center" wrapText="1"/>
    </xf>
    <xf numFmtId="2" fontId="9" fillId="0" borderId="12" xfId="1" applyNumberFormat="1" applyFont="1" applyBorder="1" applyAlignment="1">
      <alignment horizontal="center" vertical="center" wrapText="1"/>
    </xf>
    <xf numFmtId="2" fontId="9" fillId="0" borderId="17" xfId="1" applyNumberFormat="1" applyFont="1" applyBorder="1" applyAlignment="1">
      <alignment horizontal="center" vertical="center"/>
    </xf>
    <xf numFmtId="15" fontId="7" fillId="0" borderId="31" xfId="1" applyNumberFormat="1" applyFont="1" applyBorder="1" applyAlignment="1">
      <alignment horizontal="center" vertical="center" wrapText="1"/>
    </xf>
    <xf numFmtId="2" fontId="9" fillId="0" borderId="13" xfId="1" applyNumberFormat="1" applyFont="1" applyBorder="1" applyAlignment="1">
      <alignment horizontal="center" vertical="center"/>
    </xf>
    <xf numFmtId="2" fontId="7" fillId="0" borderId="29" xfId="1" applyNumberFormat="1" applyFont="1" applyBorder="1" applyAlignment="1">
      <alignment horizontal="center" vertical="center" wrapText="1"/>
    </xf>
    <xf numFmtId="2" fontId="9" fillId="0" borderId="16" xfId="1" applyNumberFormat="1" applyFont="1" applyBorder="1" applyAlignment="1">
      <alignment horizontal="center" vertical="center"/>
    </xf>
    <xf numFmtId="2" fontId="9" fillId="0" borderId="18" xfId="1" applyNumberFormat="1" applyFont="1" applyBorder="1" applyAlignment="1">
      <alignment horizontal="center" vertical="center"/>
    </xf>
    <xf numFmtId="2" fontId="6" fillId="0" borderId="14" xfId="1" applyNumberFormat="1" applyFont="1" applyBorder="1" applyAlignment="1">
      <alignment horizontal="center" vertical="center"/>
    </xf>
    <xf numFmtId="2" fontId="5" fillId="0" borderId="14" xfId="1" applyNumberFormat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5" xfId="1" applyNumberFormat="1" applyFont="1" applyBorder="1" applyAlignment="1">
      <alignment horizontal="center" vertical="center"/>
    </xf>
    <xf numFmtId="2" fontId="6" fillId="0" borderId="17" xfId="1" applyNumberFormat="1" applyFont="1" applyBorder="1" applyAlignment="1">
      <alignment horizontal="center" vertical="center"/>
    </xf>
    <xf numFmtId="2" fontId="6" fillId="0" borderId="18" xfId="1" applyNumberFormat="1" applyFont="1" applyBorder="1" applyAlignment="1">
      <alignment horizontal="center" vertical="center"/>
    </xf>
    <xf numFmtId="2" fontId="5" fillId="0" borderId="11" xfId="1" applyNumberFormat="1" applyFont="1" applyBorder="1" applyAlignment="1">
      <alignment horizontal="center" vertical="center"/>
    </xf>
    <xf numFmtId="2" fontId="5" fillId="0" borderId="12" xfId="1" applyNumberFormat="1" applyFont="1" applyBorder="1" applyAlignment="1">
      <alignment horizontal="center" vertical="center"/>
    </xf>
    <xf numFmtId="2" fontId="6" fillId="0" borderId="15" xfId="1" quotePrefix="1" applyNumberFormat="1" applyFont="1" applyBorder="1" applyAlignment="1">
      <alignment horizontal="center" vertical="center"/>
    </xf>
    <xf numFmtId="2" fontId="6" fillId="0" borderId="10" xfId="1" applyNumberFormat="1" applyFont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/>
    </xf>
    <xf numFmtId="2" fontId="6" fillId="0" borderId="16" xfId="1" applyNumberFormat="1" applyFont="1" applyBorder="1" applyAlignment="1">
      <alignment horizontal="center" vertical="center"/>
    </xf>
    <xf numFmtId="2" fontId="5" fillId="0" borderId="10" xfId="1" applyNumberFormat="1" applyFont="1" applyBorder="1" applyAlignment="1">
      <alignment horizontal="center" vertical="center"/>
    </xf>
    <xf numFmtId="1" fontId="7" fillId="0" borderId="2" xfId="1" applyNumberFormat="1" applyFont="1" applyBorder="1" applyAlignment="1">
      <alignment horizontal="center" vertical="top" wrapText="1"/>
    </xf>
    <xf numFmtId="1" fontId="7" fillId="0" borderId="1" xfId="1" applyNumberFormat="1" applyFont="1" applyBorder="1" applyAlignment="1">
      <alignment horizontal="center" vertical="top" wrapText="1"/>
    </xf>
    <xf numFmtId="2" fontId="6" fillId="2" borderId="11" xfId="1" applyNumberFormat="1" applyFont="1" applyFill="1" applyBorder="1" applyAlignment="1">
      <alignment horizontal="center" vertical="center"/>
    </xf>
    <xf numFmtId="2" fontId="6" fillId="2" borderId="12" xfId="1" applyNumberFormat="1" applyFont="1" applyFill="1" applyBorder="1" applyAlignment="1">
      <alignment horizontal="center" vertical="center"/>
    </xf>
    <xf numFmtId="2" fontId="6" fillId="2" borderId="10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/>
    </xf>
    <xf numFmtId="2" fontId="1" fillId="0" borderId="13" xfId="1" applyNumberFormat="1" applyFont="1" applyBorder="1" applyAlignment="1">
      <alignment horizontal="center" vertical="center"/>
    </xf>
    <xf numFmtId="2" fontId="1" fillId="0" borderId="14" xfId="1" applyNumberFormat="1" applyFont="1" applyBorder="1" applyAlignment="1">
      <alignment horizontal="center" vertical="center"/>
    </xf>
    <xf numFmtId="2" fontId="1" fillId="0" borderId="15" xfId="1" applyNumberFormat="1" applyFont="1" applyBorder="1" applyAlignment="1">
      <alignment horizontal="center" vertical="center"/>
    </xf>
    <xf numFmtId="2" fontId="7" fillId="2" borderId="25" xfId="1" applyNumberFormat="1" applyFont="1" applyFill="1" applyBorder="1" applyAlignment="1">
      <alignment horizontal="center" vertical="center" wrapText="1"/>
    </xf>
    <xf numFmtId="2" fontId="7" fillId="2" borderId="26" xfId="1" applyNumberFormat="1" applyFont="1" applyFill="1" applyBorder="1" applyAlignment="1">
      <alignment horizontal="center" vertical="center" wrapText="1"/>
    </xf>
    <xf numFmtId="2" fontId="7" fillId="2" borderId="15" xfId="1" applyNumberFormat="1" applyFont="1" applyFill="1" applyBorder="1" applyAlignment="1">
      <alignment horizontal="center" vertical="center" wrapText="1"/>
    </xf>
    <xf numFmtId="2" fontId="4" fillId="0" borderId="13" xfId="1" applyNumberFormat="1" applyFont="1" applyBorder="1" applyAlignment="1">
      <alignment horizontal="center" vertical="center" wrapText="1"/>
    </xf>
    <xf numFmtId="2" fontId="4" fillId="0" borderId="14" xfId="1" applyNumberFormat="1" applyFont="1" applyBorder="1" applyAlignment="1">
      <alignment horizontal="center" vertical="center" wrapText="1"/>
    </xf>
    <xf numFmtId="2" fontId="4" fillId="0" borderId="26" xfId="1" applyNumberFormat="1" applyFont="1" applyBorder="1" applyAlignment="1">
      <alignment horizontal="center" vertical="center" wrapText="1"/>
    </xf>
    <xf numFmtId="2" fontId="3" fillId="2" borderId="13" xfId="1" applyNumberFormat="1" applyFont="1" applyFill="1" applyBorder="1" applyAlignment="1">
      <alignment horizontal="center" vertical="center" wrapText="1"/>
    </xf>
    <xf numFmtId="2" fontId="3" fillId="2" borderId="14" xfId="1" applyNumberFormat="1" applyFont="1" applyFill="1" applyBorder="1" applyAlignment="1">
      <alignment horizontal="center" vertical="center" wrapText="1"/>
    </xf>
    <xf numFmtId="2" fontId="3" fillId="0" borderId="26" xfId="1" applyNumberFormat="1" applyFont="1" applyBorder="1" applyAlignment="1">
      <alignment horizontal="center" vertical="center" wrapText="1"/>
    </xf>
    <xf numFmtId="2" fontId="4" fillId="2" borderId="13" xfId="1" applyNumberFormat="1" applyFont="1" applyFill="1" applyBorder="1" applyAlignment="1">
      <alignment horizontal="center" vertical="center" wrapText="1"/>
    </xf>
    <xf numFmtId="2" fontId="4" fillId="2" borderId="14" xfId="1" applyNumberFormat="1" applyFont="1" applyFill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4" xfId="1" applyNumberFormat="1" applyFont="1" applyBorder="1" applyAlignment="1">
      <alignment horizontal="center" vertical="center" wrapText="1"/>
    </xf>
    <xf numFmtId="2" fontId="9" fillId="0" borderId="26" xfId="1" applyNumberFormat="1" applyFont="1" applyBorder="1" applyAlignment="1">
      <alignment horizontal="center" vertical="center" wrapText="1"/>
    </xf>
    <xf numFmtId="2" fontId="9" fillId="0" borderId="15" xfId="1" applyNumberFormat="1" applyFont="1" applyBorder="1" applyAlignment="1">
      <alignment horizontal="center" vertical="center" wrapText="1"/>
    </xf>
    <xf numFmtId="2" fontId="9" fillId="0" borderId="26" xfId="1" applyNumberFormat="1" applyFont="1" applyBorder="1" applyAlignment="1">
      <alignment horizontal="center" vertical="center"/>
    </xf>
    <xf numFmtId="2" fontId="9" fillId="0" borderId="27" xfId="1" applyNumberFormat="1" applyFont="1" applyBorder="1" applyAlignment="1">
      <alignment horizontal="center" vertical="center"/>
    </xf>
    <xf numFmtId="2" fontId="9" fillId="0" borderId="10" xfId="1" applyNumberFormat="1" applyFont="1" applyBorder="1" applyAlignment="1">
      <alignment horizontal="center" vertical="center"/>
    </xf>
    <xf numFmtId="2" fontId="9" fillId="0" borderId="11" xfId="1" applyNumberFormat="1" applyFont="1" applyBorder="1" applyAlignment="1">
      <alignment horizontal="center" vertical="center"/>
    </xf>
    <xf numFmtId="2" fontId="9" fillId="0" borderId="25" xfId="1" applyNumberFormat="1" applyFont="1" applyBorder="1" applyAlignment="1">
      <alignment horizontal="center" vertical="center"/>
    </xf>
    <xf numFmtId="2" fontId="9" fillId="0" borderId="12" xfId="1" applyNumberFormat="1" applyFont="1" applyBorder="1" applyAlignment="1">
      <alignment horizontal="center" vertical="center"/>
    </xf>
    <xf numFmtId="2" fontId="4" fillId="0" borderId="26" xfId="1" applyNumberFormat="1" applyFont="1" applyBorder="1" applyAlignment="1">
      <alignment horizontal="center" vertical="center"/>
    </xf>
    <xf numFmtId="2" fontId="7" fillId="0" borderId="26" xfId="1" applyNumberFormat="1" applyFont="1" applyBorder="1" applyAlignment="1">
      <alignment horizontal="center" vertical="center"/>
    </xf>
    <xf numFmtId="2" fontId="7" fillId="2" borderId="13" xfId="0" applyNumberFormat="1" applyFont="1" applyFill="1" applyBorder="1" applyAlignment="1">
      <alignment horizontal="center" vertical="center"/>
    </xf>
    <xf numFmtId="2" fontId="7" fillId="2" borderId="14" xfId="0" applyNumberFormat="1" applyFont="1" applyFill="1" applyBorder="1" applyAlignment="1">
      <alignment horizontal="center" vertical="center"/>
    </xf>
    <xf numFmtId="2" fontId="7" fillId="2" borderId="26" xfId="0" applyNumberFormat="1" applyFont="1" applyFill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2" fontId="9" fillId="0" borderId="25" xfId="1" applyNumberFormat="1" applyFon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/>
    </xf>
    <xf numFmtId="2" fontId="1" fillId="0" borderId="16" xfId="1" applyNumberFormat="1" applyFont="1" applyBorder="1" applyAlignment="1">
      <alignment horizontal="center" vertical="center"/>
    </xf>
    <xf numFmtId="2" fontId="1" fillId="0" borderId="17" xfId="1" applyNumberFormat="1" applyFont="1" applyBorder="1" applyAlignment="1">
      <alignment horizontal="center" vertical="center"/>
    </xf>
    <xf numFmtId="2" fontId="1" fillId="0" borderId="18" xfId="1" applyNumberFormat="1" applyFont="1" applyBorder="1" applyAlignment="1">
      <alignment horizontal="center" vertical="center"/>
    </xf>
    <xf numFmtId="2" fontId="1" fillId="0" borderId="10" xfId="1" applyNumberFormat="1" applyFont="1" applyBorder="1" applyAlignment="1">
      <alignment horizontal="center" vertical="center"/>
    </xf>
    <xf numFmtId="2" fontId="1" fillId="0" borderId="11" xfId="1" applyNumberFormat="1" applyFont="1" applyBorder="1" applyAlignment="1">
      <alignment horizontal="center" vertical="center"/>
    </xf>
    <xf numFmtId="2" fontId="1" fillId="0" borderId="12" xfId="1" applyNumberFormat="1" applyFont="1" applyBorder="1" applyAlignment="1">
      <alignment horizontal="center" vertical="center"/>
    </xf>
    <xf numFmtId="2" fontId="7" fillId="2" borderId="11" xfId="1" applyNumberFormat="1" applyFont="1" applyFill="1" applyBorder="1" applyAlignment="1">
      <alignment horizontal="center" vertical="center" wrapText="1"/>
    </xf>
    <xf numFmtId="2" fontId="7" fillId="2" borderId="12" xfId="1" applyNumberFormat="1" applyFont="1" applyFill="1" applyBorder="1" applyAlignment="1">
      <alignment horizontal="center" vertical="center" wrapText="1"/>
    </xf>
    <xf numFmtId="2" fontId="7" fillId="2" borderId="14" xfId="1" applyNumberFormat="1" applyFont="1" applyFill="1" applyBorder="1" applyAlignment="1">
      <alignment horizontal="center" vertical="center" wrapText="1"/>
    </xf>
    <xf numFmtId="2" fontId="9" fillId="2" borderId="15" xfId="1" applyNumberFormat="1" applyFont="1" applyFill="1" applyBorder="1" applyAlignment="1">
      <alignment horizontal="center" vertical="center"/>
    </xf>
    <xf numFmtId="2" fontId="6" fillId="0" borderId="29" xfId="1" applyNumberFormat="1" applyFont="1" applyBorder="1" applyAlignment="1">
      <alignment horizontal="center" vertical="center"/>
    </xf>
    <xf numFmtId="2" fontId="6" fillId="0" borderId="28" xfId="1" applyNumberFormat="1" applyFont="1" applyBorder="1" applyAlignment="1">
      <alignment horizontal="center" vertical="center"/>
    </xf>
    <xf numFmtId="2" fontId="6" fillId="0" borderId="30" xfId="1" applyNumberFormat="1" applyFont="1" applyBorder="1" applyAlignment="1">
      <alignment horizontal="center" vertical="center"/>
    </xf>
    <xf numFmtId="2" fontId="1" fillId="0" borderId="29" xfId="1" applyNumberFormat="1" applyFont="1" applyBorder="1" applyAlignment="1">
      <alignment horizontal="center" vertical="center"/>
    </xf>
    <xf numFmtId="2" fontId="1" fillId="0" borderId="28" xfId="1" applyNumberFormat="1" applyFont="1" applyBorder="1" applyAlignment="1">
      <alignment horizontal="center" vertical="center"/>
    </xf>
    <xf numFmtId="2" fontId="1" fillId="0" borderId="30" xfId="1" applyNumberFormat="1" applyFont="1" applyBorder="1" applyAlignment="1">
      <alignment horizontal="center" vertical="center"/>
    </xf>
    <xf numFmtId="15" fontId="7" fillId="0" borderId="32" xfId="1" applyNumberFormat="1" applyFont="1" applyBorder="1" applyAlignment="1">
      <alignment horizontal="center" vertical="center" wrapText="1"/>
    </xf>
    <xf numFmtId="2" fontId="7" fillId="0" borderId="33" xfId="1" applyNumberFormat="1" applyFont="1" applyBorder="1" applyAlignment="1">
      <alignment horizontal="center" vertical="center" wrapText="1"/>
    </xf>
    <xf numFmtId="2" fontId="7" fillId="0" borderId="34" xfId="1" applyNumberFormat="1" applyFont="1" applyBorder="1" applyAlignment="1">
      <alignment horizontal="center" vertical="center" wrapText="1"/>
    </xf>
    <xf numFmtId="2" fontId="7" fillId="0" borderId="35" xfId="1" applyNumberFormat="1" applyFont="1" applyBorder="1" applyAlignment="1">
      <alignment horizontal="center" vertical="center" wrapText="1"/>
    </xf>
    <xf numFmtId="2" fontId="9" fillId="0" borderId="34" xfId="1" applyNumberFormat="1" applyFont="1" applyBorder="1" applyAlignment="1">
      <alignment horizontal="center" vertical="center" wrapText="1"/>
    </xf>
    <xf numFmtId="2" fontId="9" fillId="0" borderId="35" xfId="1" applyNumberFormat="1" applyFont="1" applyBorder="1" applyAlignment="1">
      <alignment horizontal="center" vertical="center" wrapText="1"/>
    </xf>
    <xf numFmtId="2" fontId="7" fillId="0" borderId="38" xfId="1" applyNumberFormat="1" applyFont="1" applyBorder="1" applyAlignment="1">
      <alignment horizontal="center" vertical="center" wrapText="1"/>
    </xf>
    <xf numFmtId="2" fontId="9" fillId="0" borderId="11" xfId="1" applyNumberFormat="1" applyFont="1" applyBorder="1" applyAlignment="1">
      <alignment horizontal="center" vertical="top" wrapText="1"/>
    </xf>
    <xf numFmtId="2" fontId="9" fillId="0" borderId="12" xfId="1" applyNumberFormat="1" applyFont="1" applyBorder="1" applyAlignment="1">
      <alignment horizontal="center" vertical="top" wrapText="1"/>
    </xf>
    <xf numFmtId="2" fontId="7" fillId="0" borderId="36" xfId="1" applyNumberFormat="1" applyFont="1" applyBorder="1" applyAlignment="1">
      <alignment horizontal="center" vertical="center" wrapText="1"/>
    </xf>
    <xf numFmtId="2" fontId="7" fillId="0" borderId="39" xfId="1" applyNumberFormat="1" applyFont="1" applyBorder="1" applyAlignment="1">
      <alignment horizontal="center" vertical="top" wrapText="1"/>
    </xf>
    <xf numFmtId="2" fontId="7" fillId="0" borderId="17" xfId="1" applyNumberFormat="1" applyFont="1" applyBorder="1" applyAlignment="1">
      <alignment horizontal="center" vertical="top" wrapText="1"/>
    </xf>
    <xf numFmtId="2" fontId="7" fillId="0" borderId="18" xfId="1" applyNumberFormat="1" applyFont="1" applyBorder="1" applyAlignment="1">
      <alignment horizontal="center" vertical="top" wrapText="1"/>
    </xf>
    <xf numFmtId="2" fontId="7" fillId="0" borderId="37" xfId="1" applyNumberFormat="1" applyFont="1" applyBorder="1" applyAlignment="1">
      <alignment horizontal="center" vertical="center" wrapText="1"/>
    </xf>
    <xf numFmtId="0" fontId="0" fillId="0" borderId="0" xfId="0" quotePrefix="1"/>
    <xf numFmtId="0" fontId="0" fillId="0" borderId="0" xfId="0" applyFill="1" applyBorder="1"/>
    <xf numFmtId="0" fontId="0" fillId="0" borderId="0" xfId="0" applyBorder="1" applyAlignment="1">
      <alignment vertical="center"/>
    </xf>
    <xf numFmtId="0" fontId="7" fillId="0" borderId="14" xfId="1" applyFont="1" applyBorder="1" applyAlignment="1">
      <alignment horizontal="center" vertical="center" wrapText="1"/>
    </xf>
    <xf numFmtId="164" fontId="7" fillId="0" borderId="14" xfId="1" applyNumberFormat="1" applyFont="1" applyBorder="1" applyAlignment="1">
      <alignment horizontal="center" vertical="center" wrapText="1"/>
    </xf>
    <xf numFmtId="2" fontId="7" fillId="0" borderId="14" xfId="1" applyNumberFormat="1" applyFont="1" applyFill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2" fontId="7" fillId="0" borderId="17" xfId="1" applyNumberFormat="1" applyFont="1" applyBorder="1" applyAlignment="1">
      <alignment horizontal="right" vertical="center" wrapText="1"/>
    </xf>
    <xf numFmtId="2" fontId="7" fillId="0" borderId="18" xfId="1" applyNumberFormat="1" applyFont="1" applyBorder="1" applyAlignment="1">
      <alignment horizontal="right" vertical="center" wrapText="1"/>
    </xf>
    <xf numFmtId="164" fontId="7" fillId="0" borderId="34" xfId="1" applyNumberFormat="1" applyFont="1" applyBorder="1" applyAlignment="1">
      <alignment horizontal="center" vertical="center" wrapText="1"/>
    </xf>
    <xf numFmtId="0" fontId="9" fillId="0" borderId="40" xfId="1" applyFont="1" applyBorder="1" applyAlignment="1">
      <alignment horizontal="left" vertical="top" wrapText="1"/>
    </xf>
    <xf numFmtId="0" fontId="9" fillId="0" borderId="23" xfId="1" applyFont="1" applyBorder="1" applyAlignment="1">
      <alignment horizontal="left" vertical="top" wrapText="1"/>
    </xf>
    <xf numFmtId="0" fontId="0" fillId="0" borderId="23" xfId="0" applyFont="1" applyBorder="1"/>
    <xf numFmtId="0" fontId="7" fillId="0" borderId="23" xfId="1" applyFont="1" applyBorder="1" applyAlignment="1">
      <alignment horizontal="left" vertical="top" wrapText="1"/>
    </xf>
    <xf numFmtId="0" fontId="7" fillId="0" borderId="24" xfId="1" applyFont="1" applyBorder="1" applyAlignment="1">
      <alignment horizontal="left" vertical="top" wrapText="1"/>
    </xf>
    <xf numFmtId="164" fontId="7" fillId="0" borderId="33" xfId="1" applyNumberFormat="1" applyFont="1" applyBorder="1" applyAlignment="1">
      <alignment horizontal="center" vertical="center" wrapText="1"/>
    </xf>
    <xf numFmtId="164" fontId="7" fillId="0" borderId="35" xfId="1" applyNumberFormat="1" applyFont="1" applyBorder="1" applyAlignment="1">
      <alignment horizontal="center" vertical="center" wrapText="1"/>
    </xf>
    <xf numFmtId="164" fontId="7" fillId="0" borderId="13" xfId="1" applyNumberFormat="1" applyFont="1" applyBorder="1" applyAlignment="1">
      <alignment horizontal="center" vertical="center" wrapText="1"/>
    </xf>
    <xf numFmtId="164" fontId="7" fillId="0" borderId="15" xfId="1" applyNumberFormat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2" fontId="7" fillId="0" borderId="13" xfId="1" applyNumberFormat="1" applyFont="1" applyFill="1" applyBorder="1" applyAlignment="1">
      <alignment horizontal="center" vertical="center" wrapText="1"/>
    </xf>
    <xf numFmtId="2" fontId="7" fillId="0" borderId="15" xfId="1" applyNumberFormat="1" applyFont="1" applyFill="1" applyBorder="1" applyAlignment="1">
      <alignment horizontal="center" vertical="center" wrapText="1"/>
    </xf>
    <xf numFmtId="2" fontId="7" fillId="0" borderId="16" xfId="1" applyNumberFormat="1" applyFont="1" applyBorder="1" applyAlignment="1">
      <alignment horizontal="right" vertical="center" wrapText="1"/>
    </xf>
    <xf numFmtId="0" fontId="8" fillId="0" borderId="4" xfId="1" applyFont="1" applyBorder="1" applyAlignment="1">
      <alignment horizontal="center" vertical="center" wrapText="1"/>
    </xf>
    <xf numFmtId="2" fontId="1" fillId="0" borderId="0" xfId="1" applyNumberFormat="1" applyFont="1" applyAlignment="1">
      <alignment horizontal="right" vertical="center"/>
    </xf>
    <xf numFmtId="2" fontId="13" fillId="0" borderId="28" xfId="1" applyNumberFormat="1" applyFont="1" applyBorder="1" applyAlignment="1">
      <alignment horizontal="center" vertical="center"/>
    </xf>
    <xf numFmtId="2" fontId="13" fillId="0" borderId="30" xfId="1" applyNumberFormat="1" applyFont="1" applyBorder="1" applyAlignment="1">
      <alignment horizontal="center" vertical="center"/>
    </xf>
    <xf numFmtId="2" fontId="13" fillId="0" borderId="29" xfId="1" applyNumberFormat="1" applyFont="1" applyBorder="1" applyAlignment="1">
      <alignment horizontal="center" vertical="center"/>
    </xf>
    <xf numFmtId="2" fontId="13" fillId="0" borderId="16" xfId="1" applyNumberFormat="1" applyFont="1" applyBorder="1" applyAlignment="1">
      <alignment horizontal="center" vertical="center"/>
    </xf>
    <xf numFmtId="2" fontId="13" fillId="0" borderId="17" xfId="1" applyNumberFormat="1" applyFont="1" applyBorder="1" applyAlignment="1">
      <alignment horizontal="center" vertical="center"/>
    </xf>
    <xf numFmtId="2" fontId="13" fillId="0" borderId="18" xfId="1" applyNumberFormat="1" applyFont="1" applyBorder="1" applyAlignment="1">
      <alignment horizontal="center" vertical="center"/>
    </xf>
    <xf numFmtId="2" fontId="4" fillId="0" borderId="15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0" fillId="0" borderId="4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0" fontId="8" fillId="0" borderId="4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11" fillId="0" borderId="9" xfId="1" applyFont="1" applyBorder="1" applyAlignment="1">
      <alignment horizontal="center"/>
    </xf>
    <xf numFmtId="0" fontId="10" fillId="0" borderId="4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" fontId="7" fillId="0" borderId="3" xfId="1" applyNumberFormat="1" applyFont="1" applyBorder="1" applyAlignment="1">
      <alignment horizontal="center" vertical="top" wrapText="1"/>
    </xf>
    <xf numFmtId="1" fontId="7" fillId="0" borderId="2" xfId="1" applyNumberFormat="1" applyFont="1" applyBorder="1" applyAlignment="1">
      <alignment horizontal="center" vertical="top" wrapText="1"/>
    </xf>
    <xf numFmtId="1" fontId="7" fillId="0" borderId="1" xfId="1" applyNumberFormat="1" applyFont="1" applyBorder="1" applyAlignment="1">
      <alignment horizontal="center" vertical="top" wrapText="1"/>
    </xf>
    <xf numFmtId="0" fontId="9" fillId="0" borderId="3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/>
    </xf>
    <xf numFmtId="0" fontId="1" fillId="0" borderId="2" xfId="1" applyFont="1" applyBorder="1" applyAlignment="1">
      <alignment horizontal="center" vertical="top"/>
    </xf>
    <xf numFmtId="0" fontId="1" fillId="0" borderId="1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1" fontId="6" fillId="0" borderId="3" xfId="1" applyNumberFormat="1" applyFont="1" applyBorder="1" applyAlignment="1">
      <alignment horizontal="center" vertical="top" wrapText="1"/>
    </xf>
    <xf numFmtId="1" fontId="6" fillId="0" borderId="2" xfId="1" applyNumberFormat="1" applyFont="1" applyBorder="1" applyAlignment="1">
      <alignment horizontal="center" vertical="top" wrapText="1"/>
    </xf>
    <xf numFmtId="1" fontId="6" fillId="0" borderId="1" xfId="1" applyNumberFormat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lverine%20Creek%20Summary_Movement%20(wPLOTS)%20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PLOT 1978-2015"/>
      <sheetName val="NORTH PLOT 2004-2015"/>
      <sheetName val="SOUTH PLOT 1978-2015"/>
      <sheetName val="SOUTH PLOT 2004-2015"/>
      <sheetName val="SUMMARY"/>
      <sheetName val="1978-1981 from R73"/>
      <sheetName val="2003-2015 from R120"/>
      <sheetName val="SUMMARY 2003-2012"/>
      <sheetName val="North Lobe 2003-2012 Upper"/>
      <sheetName val="North Lobe 2003-2012 Mid"/>
      <sheetName val="North Lobe 2003-2012 Lower"/>
      <sheetName val="South Lobe 2003-2012 Upper"/>
      <sheetName val="South Lobe 2003-2012 Mid"/>
      <sheetName val="South Lobe 2003-2012 Lower"/>
      <sheetName val="North Lobe July 86"/>
      <sheetName val="North Lobe June 83"/>
      <sheetName val="North Lobe Sept 83"/>
      <sheetName val="South Lobe July 86"/>
      <sheetName val="South Lobe June 83"/>
      <sheetName val="South Lobe Sept 8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B5">
            <v>1.1734800000000001</v>
          </cell>
        </row>
      </sheetData>
      <sheetData sheetId="5">
        <row r="29">
          <cell r="Q29">
            <v>1.1734800000000001</v>
          </cell>
          <cell r="R29">
            <v>1.9812000000000001</v>
          </cell>
          <cell r="S29">
            <v>0.48768000000000006</v>
          </cell>
        </row>
        <row r="30">
          <cell r="Q30">
            <v>0.23622000000000001</v>
          </cell>
          <cell r="R30">
            <v>0.33528000000000002</v>
          </cell>
          <cell r="S30">
            <v>0.12192000000000001</v>
          </cell>
        </row>
        <row r="34">
          <cell r="Q34">
            <v>5.4279799999999989</v>
          </cell>
          <cell r="R34">
            <v>9.6316800000000011</v>
          </cell>
          <cell r="S34">
            <v>3.1699200000000003</v>
          </cell>
        </row>
        <row r="35">
          <cell r="Q35">
            <v>4.8641000000000005</v>
          </cell>
          <cell r="R35">
            <v>5.3340000000000005</v>
          </cell>
          <cell r="S35">
            <v>4.4196</v>
          </cell>
        </row>
        <row r="39">
          <cell r="Q39">
            <v>7.1628000000000007</v>
          </cell>
          <cell r="R39">
            <v>10.271760000000002</v>
          </cell>
          <cell r="S39">
            <v>4.0538400000000001</v>
          </cell>
        </row>
        <row r="40">
          <cell r="Q40">
            <v>5.3797199999999998</v>
          </cell>
          <cell r="R40">
            <v>5.4864000000000006</v>
          </cell>
          <cell r="S40">
            <v>5.2730400000000008</v>
          </cell>
        </row>
      </sheetData>
      <sheetData sheetId="6">
        <row r="3">
          <cell r="I3">
            <v>4.5279644275236715</v>
          </cell>
        </row>
        <row r="4">
          <cell r="I4">
            <v>14.318681188592814</v>
          </cell>
        </row>
        <row r="5">
          <cell r="I5">
            <v>6.4302582101172598</v>
          </cell>
        </row>
        <row r="6">
          <cell r="I6">
            <v>2.5992509832706125</v>
          </cell>
        </row>
        <row r="7">
          <cell r="I7">
            <v>3.7320788127649411</v>
          </cell>
        </row>
        <row r="8">
          <cell r="I8">
            <v>1.5576671286551451</v>
          </cell>
        </row>
        <row r="9">
          <cell r="I9">
            <v>17.227333497746507</v>
          </cell>
        </row>
        <row r="10">
          <cell r="I10">
            <v>2.5505150213959085</v>
          </cell>
        </row>
        <row r="11">
          <cell r="I11">
            <v>3.645502011628917</v>
          </cell>
        </row>
        <row r="12">
          <cell r="I12">
            <v>3.69665849713929</v>
          </cell>
        </row>
        <row r="13">
          <cell r="I13">
            <v>4.5640913610073808</v>
          </cell>
        </row>
        <row r="16">
          <cell r="I16">
            <v>10.511207891994335</v>
          </cell>
        </row>
        <row r="17">
          <cell r="I17">
            <v>14.318680855210042</v>
          </cell>
        </row>
        <row r="18">
          <cell r="I18">
            <v>9.1504178299019934</v>
          </cell>
        </row>
        <row r="19">
          <cell r="I19">
            <v>3.675895994692556</v>
          </cell>
        </row>
        <row r="20">
          <cell r="I20">
            <v>4.6421567070903249</v>
          </cell>
        </row>
        <row r="21">
          <cell r="I21">
            <v>2.9962325534868999</v>
          </cell>
        </row>
        <row r="22">
          <cell r="I22">
            <v>17.227333497746507</v>
          </cell>
        </row>
        <row r="23">
          <cell r="I23">
            <v>5.8160691263897224</v>
          </cell>
        </row>
        <row r="24">
          <cell r="I24">
            <v>5.1555183391820245</v>
          </cell>
        </row>
        <row r="25">
          <cell r="I25">
            <v>6.709424864650348</v>
          </cell>
        </row>
        <row r="26">
          <cell r="I26">
            <v>4.4335995845784346</v>
          </cell>
        </row>
        <row r="29">
          <cell r="I29">
            <v>3.8480298908260955</v>
          </cell>
        </row>
        <row r="30">
          <cell r="I30">
            <v>6.4035086288002505</v>
          </cell>
        </row>
        <row r="31">
          <cell r="I31">
            <v>2.8756989234325117</v>
          </cell>
        </row>
        <row r="32">
          <cell r="I32">
            <v>3.6758960353459651</v>
          </cell>
        </row>
        <row r="33">
          <cell r="I33">
            <v>1.5379213467629473</v>
          </cell>
        </row>
        <row r="34">
          <cell r="I34">
            <v>0.69660991192671862</v>
          </cell>
        </row>
        <row r="35">
          <cell r="I35">
            <v>21.791044764703752</v>
          </cell>
        </row>
        <row r="36">
          <cell r="I36">
            <v>1.1406249745050445</v>
          </cell>
        </row>
        <row r="37">
          <cell r="I37">
            <v>4.2896505768697235</v>
          </cell>
        </row>
        <row r="38">
          <cell r="I38">
            <v>1.6796270753718596</v>
          </cell>
        </row>
        <row r="39">
          <cell r="I39">
            <v>4.3093781719425825</v>
          </cell>
        </row>
        <row r="42">
          <cell r="I42">
            <v>3.0186430219657066</v>
          </cell>
        </row>
        <row r="43">
          <cell r="I43">
            <v>19.210526333680672</v>
          </cell>
        </row>
        <row r="44">
          <cell r="I44">
            <v>7.4017830232589636</v>
          </cell>
        </row>
        <row r="45">
          <cell r="I45">
            <v>2.5992509832706125</v>
          </cell>
        </row>
        <row r="46">
          <cell r="I46">
            <v>2.7606533007335607</v>
          </cell>
        </row>
        <row r="47">
          <cell r="I47">
            <v>1.101437009378174</v>
          </cell>
        </row>
        <row r="48">
          <cell r="I48">
            <v>17.227333628105676</v>
          </cell>
        </row>
        <row r="49">
          <cell r="I49">
            <v>2.5505150867180948</v>
          </cell>
        </row>
        <row r="50">
          <cell r="I50">
            <v>2.0221606667032281</v>
          </cell>
        </row>
        <row r="51">
          <cell r="I51">
            <v>2.4809322233676983</v>
          </cell>
        </row>
        <row r="52">
          <cell r="I52">
            <v>7.161681622133373</v>
          </cell>
        </row>
        <row r="55">
          <cell r="I55">
            <v>0</v>
          </cell>
        </row>
        <row r="56">
          <cell r="I56">
            <v>23.088179365632094</v>
          </cell>
        </row>
        <row r="57">
          <cell r="I57">
            <v>12.242846853516133</v>
          </cell>
        </row>
        <row r="58">
          <cell r="I58">
            <v>17.781612643579887</v>
          </cell>
        </row>
        <row r="59">
          <cell r="I59">
            <v>4.0038498875612181</v>
          </cell>
        </row>
        <row r="60">
          <cell r="I60">
            <v>9.9739361660177739</v>
          </cell>
        </row>
        <row r="61">
          <cell r="I61">
            <v>16.343283565600277</v>
          </cell>
        </row>
        <row r="62">
          <cell r="I62">
            <v>1.6130873226106062</v>
          </cell>
        </row>
        <row r="63">
          <cell r="I63">
            <v>2.2608443113438801</v>
          </cell>
        </row>
        <row r="64">
          <cell r="I64">
            <v>9.7792842952902639</v>
          </cell>
        </row>
        <row r="65">
          <cell r="I65">
            <v>3.0084123880649862</v>
          </cell>
        </row>
        <row r="68">
          <cell r="I68">
            <v>2.1345029259645187</v>
          </cell>
        </row>
        <row r="69">
          <cell r="I69">
            <v>9.0559288550473429</v>
          </cell>
        </row>
        <row r="70">
          <cell r="I70">
            <v>3.2151291228374186</v>
          </cell>
        </row>
        <row r="71">
          <cell r="I71">
            <v>3.675895932642617</v>
          </cell>
        </row>
        <row r="72">
          <cell r="I72">
            <v>2.7606532979630236</v>
          </cell>
        </row>
        <row r="73">
          <cell r="I73">
            <v>1.9703103903308383</v>
          </cell>
        </row>
        <row r="74">
          <cell r="I74">
            <v>17.227333467663623</v>
          </cell>
        </row>
        <row r="75">
          <cell r="I75">
            <v>1.6130873273053081</v>
          </cell>
        </row>
        <row r="76">
          <cell r="I76">
            <v>2.859767006857056</v>
          </cell>
        </row>
        <row r="77">
          <cell r="I77">
            <v>0.59549959636843908</v>
          </cell>
        </row>
        <row r="78">
          <cell r="I78">
            <v>2.5023986007474139</v>
          </cell>
        </row>
        <row r="81">
          <cell r="I81">
            <v>6.2230919478105342</v>
          </cell>
        </row>
        <row r="82">
          <cell r="I82">
            <v>23.088179344956576</v>
          </cell>
        </row>
        <row r="83">
          <cell r="I83">
            <v>5.0835654584264178</v>
          </cell>
        </row>
        <row r="84">
          <cell r="I84">
            <v>3.2878213040617741</v>
          </cell>
        </row>
        <row r="85">
          <cell r="I85">
            <v>2.760653315694463</v>
          </cell>
        </row>
        <row r="86">
          <cell r="I86">
            <v>1.7760137727047314</v>
          </cell>
        </row>
        <row r="87">
          <cell r="I87">
            <v>7.7042976826522187</v>
          </cell>
        </row>
        <row r="88">
          <cell r="I88">
            <v>2.5505150273342889</v>
          </cell>
        </row>
        <row r="89">
          <cell r="I89">
            <v>3.6455020067320829</v>
          </cell>
        </row>
        <row r="90">
          <cell r="I90">
            <v>3.6101026304374879</v>
          </cell>
        </row>
        <row r="91">
          <cell r="I91">
            <v>0.7974862371993624</v>
          </cell>
        </row>
      </sheetData>
      <sheetData sheetId="7"/>
      <sheetData sheetId="8"/>
      <sheetData sheetId="9">
        <row r="108">
          <cell r="I108">
            <v>0.21</v>
          </cell>
        </row>
        <row r="109">
          <cell r="I109">
            <v>0.16</v>
          </cell>
        </row>
        <row r="110">
          <cell r="I110">
            <v>0.18</v>
          </cell>
        </row>
        <row r="111">
          <cell r="I111">
            <v>0.13</v>
          </cell>
        </row>
        <row r="112">
          <cell r="I112">
            <v>0.1</v>
          </cell>
        </row>
        <row r="113">
          <cell r="I113">
            <v>0.06</v>
          </cell>
        </row>
        <row r="114">
          <cell r="I114">
            <v>0.33</v>
          </cell>
        </row>
        <row r="115">
          <cell r="I115">
            <v>7.0000000000000007E-2</v>
          </cell>
        </row>
        <row r="118">
          <cell r="I118">
            <v>0.63</v>
          </cell>
        </row>
        <row r="119">
          <cell r="I119">
            <v>0.56000000000000005</v>
          </cell>
        </row>
        <row r="120">
          <cell r="I120">
            <v>0.53</v>
          </cell>
        </row>
        <row r="121">
          <cell r="I121">
            <v>0.43</v>
          </cell>
        </row>
        <row r="122">
          <cell r="I122">
            <v>0.31</v>
          </cell>
        </row>
        <row r="123">
          <cell r="I123">
            <v>0.21</v>
          </cell>
        </row>
        <row r="124">
          <cell r="I124">
            <v>1.1000000000000001</v>
          </cell>
        </row>
        <row r="125">
          <cell r="I125">
            <v>0.24</v>
          </cell>
        </row>
        <row r="126">
          <cell r="I126">
            <v>0.25</v>
          </cell>
        </row>
        <row r="128">
          <cell r="I128">
            <v>0.02</v>
          </cell>
        </row>
        <row r="129">
          <cell r="I129">
            <v>0.03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0.13</v>
          </cell>
        </row>
        <row r="135">
          <cell r="I135">
            <v>0</v>
          </cell>
        </row>
        <row r="136">
          <cell r="I136">
            <v>0.02</v>
          </cell>
        </row>
      </sheetData>
      <sheetData sheetId="10">
        <row r="83">
          <cell r="H83">
            <v>0.11</v>
          </cell>
        </row>
        <row r="84">
          <cell r="H84">
            <v>0.09</v>
          </cell>
        </row>
        <row r="85">
          <cell r="H85">
            <v>0.13</v>
          </cell>
        </row>
        <row r="86">
          <cell r="H86">
            <v>0.09</v>
          </cell>
        </row>
        <row r="87">
          <cell r="H87">
            <v>7.0000000000000007E-2</v>
          </cell>
        </row>
        <row r="88">
          <cell r="H88">
            <v>0.05</v>
          </cell>
        </row>
        <row r="89">
          <cell r="H89">
            <v>0.22</v>
          </cell>
        </row>
        <row r="90">
          <cell r="H90">
            <v>0.03</v>
          </cell>
        </row>
        <row r="93">
          <cell r="H93">
            <v>0.17</v>
          </cell>
        </row>
        <row r="94">
          <cell r="H94">
            <v>0.26</v>
          </cell>
        </row>
        <row r="95">
          <cell r="H95">
            <v>0.18</v>
          </cell>
        </row>
        <row r="96">
          <cell r="H96">
            <v>0.13</v>
          </cell>
        </row>
        <row r="97">
          <cell r="H97">
            <v>0.1</v>
          </cell>
        </row>
        <row r="98">
          <cell r="H98">
            <v>7.0000000000000007E-2</v>
          </cell>
        </row>
        <row r="99">
          <cell r="H99">
            <v>0.27</v>
          </cell>
        </row>
        <row r="100">
          <cell r="H100">
            <v>0.05</v>
          </cell>
        </row>
        <row r="101">
          <cell r="H101">
            <v>7.0000000000000007E-2</v>
          </cell>
        </row>
        <row r="104">
          <cell r="H104">
            <v>0.03</v>
          </cell>
        </row>
        <row r="105">
          <cell r="H105">
            <v>0.08</v>
          </cell>
        </row>
        <row r="106">
          <cell r="H106">
            <v>0.05</v>
          </cell>
        </row>
        <row r="107">
          <cell r="H107">
            <v>0.04</v>
          </cell>
        </row>
        <row r="108">
          <cell r="H108">
            <v>0.03</v>
          </cell>
        </row>
        <row r="109">
          <cell r="H109">
            <v>0.14000000000000001</v>
          </cell>
        </row>
        <row r="110">
          <cell r="H110">
            <v>0.02</v>
          </cell>
        </row>
        <row r="111">
          <cell r="H111">
            <v>0.04</v>
          </cell>
        </row>
      </sheetData>
      <sheetData sheetId="11"/>
      <sheetData sheetId="12"/>
      <sheetData sheetId="13"/>
      <sheetData sheetId="14">
        <row r="6">
          <cell r="P6">
            <v>0.11658600000000001</v>
          </cell>
          <cell r="Q6">
            <v>0.210312</v>
          </cell>
          <cell r="R6">
            <v>5.1816000000000008E-2</v>
          </cell>
        </row>
        <row r="7">
          <cell r="P7">
            <v>0.35356799999999999</v>
          </cell>
          <cell r="Q7">
            <v>0.47244000000000003</v>
          </cell>
          <cell r="R7">
            <v>0.25603199999999998</v>
          </cell>
        </row>
        <row r="8">
          <cell r="P8">
            <v>6.5531999999999993E-2</v>
          </cell>
          <cell r="Q8">
            <v>0.124968</v>
          </cell>
          <cell r="R8">
            <v>1.5240000000000002E-2</v>
          </cell>
        </row>
        <row r="11">
          <cell r="P11">
            <v>14.473428</v>
          </cell>
          <cell r="Q11">
            <v>33.128712</v>
          </cell>
          <cell r="R11">
            <v>0.32004000000000005</v>
          </cell>
        </row>
        <row r="12">
          <cell r="P12">
            <v>12.807018666666666</v>
          </cell>
          <cell r="Q12">
            <v>22.896576000000003</v>
          </cell>
          <cell r="R12">
            <v>0.10972800000000001</v>
          </cell>
        </row>
        <row r="13">
          <cell r="P13">
            <v>10.591800000000001</v>
          </cell>
          <cell r="Q13">
            <v>18.925032000000002</v>
          </cell>
          <cell r="R13">
            <v>0.384048</v>
          </cell>
        </row>
      </sheetData>
      <sheetData sheetId="15">
        <row r="6">
          <cell r="P6">
            <v>1.4706600000000001</v>
          </cell>
          <cell r="Q6">
            <v>1.6459200000000003</v>
          </cell>
          <cell r="R6">
            <v>1.3411200000000001</v>
          </cell>
        </row>
        <row r="7">
          <cell r="P7">
            <v>8.3820000000000006E-2</v>
          </cell>
          <cell r="Q7">
            <v>0.18288000000000001</v>
          </cell>
          <cell r="R7">
            <v>3.0480000000000004E-2</v>
          </cell>
        </row>
        <row r="8">
          <cell r="P8">
            <v>0.87629999999999986</v>
          </cell>
          <cell r="Q8">
            <v>1.9812000000000001</v>
          </cell>
          <cell r="R8">
            <v>0.18897600000000001</v>
          </cell>
        </row>
        <row r="9">
          <cell r="P9">
            <v>1.0706100000000001</v>
          </cell>
          <cell r="Q9">
            <v>3.6301680000000003</v>
          </cell>
          <cell r="R9">
            <v>0.13716</v>
          </cell>
        </row>
        <row r="11">
          <cell r="P11">
            <v>16.874490000000002</v>
          </cell>
          <cell r="Q11">
            <v>18.806160000000002</v>
          </cell>
          <cell r="R11">
            <v>14.87424</v>
          </cell>
        </row>
        <row r="12">
          <cell r="P12">
            <v>17.26474285714286</v>
          </cell>
          <cell r="Q12">
            <v>23.896320000000003</v>
          </cell>
          <cell r="R12">
            <v>0.27432000000000001</v>
          </cell>
        </row>
        <row r="13">
          <cell r="P13">
            <v>20.273162400000004</v>
          </cell>
          <cell r="Q13">
            <v>33.506664000000001</v>
          </cell>
          <cell r="R13">
            <v>0.59740800000000005</v>
          </cell>
        </row>
        <row r="14">
          <cell r="P14">
            <v>18.924117600000002</v>
          </cell>
          <cell r="Q14">
            <v>28.998672000000003</v>
          </cell>
          <cell r="R14">
            <v>0.347472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zoomScale="70" zoomScaleNormal="70" workbookViewId="0">
      <selection activeCell="C6" sqref="C6"/>
    </sheetView>
  </sheetViews>
  <sheetFormatPr defaultRowHeight="15" x14ac:dyDescent="0.25"/>
  <cols>
    <col min="1" max="1" width="24.28515625" customWidth="1"/>
    <col min="2" max="10" width="14.85546875" customWidth="1"/>
    <col min="11" max="11" width="29.140625" customWidth="1"/>
  </cols>
  <sheetData>
    <row r="1" spans="1:11" ht="15" customHeight="1" x14ac:dyDescent="0.25">
      <c r="A1" s="181" t="s">
        <v>73</v>
      </c>
      <c r="B1" s="181"/>
      <c r="C1" s="181"/>
      <c r="D1" s="181"/>
      <c r="E1" s="181"/>
      <c r="F1" s="181"/>
      <c r="G1" s="181"/>
      <c r="H1" s="181"/>
      <c r="I1" s="181"/>
      <c r="J1" s="181"/>
      <c r="K1" s="180"/>
    </row>
    <row r="2" spans="1:11" ht="15" customHeight="1" x14ac:dyDescent="0.25">
      <c r="A2" s="182" t="s">
        <v>39</v>
      </c>
      <c r="B2" s="184" t="s">
        <v>40</v>
      </c>
      <c r="C2" s="181"/>
      <c r="D2" s="181"/>
      <c r="E2" s="181"/>
      <c r="F2" s="181"/>
      <c r="G2" s="181"/>
      <c r="H2" s="181"/>
      <c r="I2" s="181"/>
      <c r="J2" s="181"/>
      <c r="K2" s="180"/>
    </row>
    <row r="3" spans="1:11" ht="24.95" customHeight="1" x14ac:dyDescent="0.25">
      <c r="A3" s="183"/>
      <c r="B3" s="185" t="s">
        <v>41</v>
      </c>
      <c r="C3" s="185"/>
      <c r="D3" s="185"/>
      <c r="E3" s="185" t="s">
        <v>42</v>
      </c>
      <c r="F3" s="185"/>
      <c r="G3" s="185"/>
      <c r="H3" s="185" t="s">
        <v>43</v>
      </c>
      <c r="I3" s="185"/>
      <c r="J3" s="185"/>
      <c r="K3" s="180"/>
    </row>
    <row r="4" spans="1:11" ht="15" customHeight="1" x14ac:dyDescent="0.25">
      <c r="A4" s="183"/>
      <c r="B4" s="6" t="s">
        <v>44</v>
      </c>
      <c r="C4" s="6" t="s">
        <v>45</v>
      </c>
      <c r="D4" s="6" t="s">
        <v>46</v>
      </c>
      <c r="E4" s="6" t="s">
        <v>44</v>
      </c>
      <c r="F4" s="6" t="s">
        <v>45</v>
      </c>
      <c r="G4" s="6" t="s">
        <v>46</v>
      </c>
      <c r="H4" s="6" t="s">
        <v>44</v>
      </c>
      <c r="I4" s="6" t="s">
        <v>45</v>
      </c>
      <c r="J4" s="6" t="s">
        <v>46</v>
      </c>
      <c r="K4" s="180"/>
    </row>
    <row r="5" spans="1:11" ht="15" customHeight="1" x14ac:dyDescent="0.25">
      <c r="A5" s="158" t="s">
        <v>47</v>
      </c>
      <c r="B5" s="163">
        <f>'[1]1978-1981 from R73'!Q29</f>
        <v>1.1734800000000001</v>
      </c>
      <c r="C5" s="157">
        <f>'[1]1978-1981 from R73'!R29</f>
        <v>1.9812000000000001</v>
      </c>
      <c r="D5" s="164">
        <f>'[1]1978-1981 from R73'!S29</f>
        <v>0.48768000000000006</v>
      </c>
      <c r="E5" s="135">
        <f>'[1]1978-1981 from R73'!Q34</f>
        <v>5.4279799999999989</v>
      </c>
      <c r="F5" s="136">
        <f>'[1]1978-1981 from R73'!R34</f>
        <v>9.6316800000000011</v>
      </c>
      <c r="G5" s="137">
        <f>'[1]1978-1981 from R73'!S34</f>
        <v>3.1699200000000003</v>
      </c>
      <c r="H5" s="135">
        <f>'[1]1978-1981 from R73'!Q39</f>
        <v>7.1628000000000007</v>
      </c>
      <c r="I5" s="136">
        <f>'[1]1978-1981 from R73'!R39</f>
        <v>10.271760000000002</v>
      </c>
      <c r="J5" s="137">
        <f>'[1]1978-1981 from R73'!S39</f>
        <v>4.0538400000000001</v>
      </c>
      <c r="K5" s="150"/>
    </row>
    <row r="6" spans="1:11" ht="15" customHeight="1" x14ac:dyDescent="0.25">
      <c r="A6" s="159" t="s">
        <v>48</v>
      </c>
      <c r="B6" s="165">
        <f>'[1]1978-1981 from R73'!Q30</f>
        <v>0.23622000000000001</v>
      </c>
      <c r="C6" s="152">
        <f>'[1]1978-1981 from R73'!R30</f>
        <v>0.33528000000000002</v>
      </c>
      <c r="D6" s="166">
        <f>'[1]1978-1981 from R73'!S30</f>
        <v>0.12192000000000001</v>
      </c>
      <c r="E6" s="29">
        <f>'[1]1978-1981 from R73'!Q35</f>
        <v>4.8641000000000005</v>
      </c>
      <c r="F6" s="30">
        <f>'[1]1978-1981 from R73'!R35</f>
        <v>5.3340000000000005</v>
      </c>
      <c r="G6" s="31">
        <f>'[1]1978-1981 from R73'!S35</f>
        <v>4.4196</v>
      </c>
      <c r="H6" s="29">
        <f>'[1]1978-1981 from R73'!Q40</f>
        <v>5.3797199999999998</v>
      </c>
      <c r="I6" s="30">
        <f>'[1]1978-1981 from R73'!R40</f>
        <v>5.4864000000000006</v>
      </c>
      <c r="J6" s="31">
        <f>'[1]1978-1981 from R73'!S40</f>
        <v>5.2730400000000008</v>
      </c>
      <c r="K6" s="150"/>
    </row>
    <row r="7" spans="1:11" ht="15" customHeight="1" x14ac:dyDescent="0.25">
      <c r="A7" s="160" t="s">
        <v>49</v>
      </c>
      <c r="B7" s="165">
        <f>'[1]North Lobe June 83'!P6</f>
        <v>1.4706600000000001</v>
      </c>
      <c r="C7" s="152">
        <f>'[1]North Lobe June 83'!Q6</f>
        <v>1.6459200000000003</v>
      </c>
      <c r="D7" s="166">
        <f>'[1]North Lobe June 83'!R6</f>
        <v>1.3411200000000001</v>
      </c>
      <c r="E7" s="29">
        <f>'[1]North Lobe June 83'!P11</f>
        <v>16.874490000000002</v>
      </c>
      <c r="F7" s="30">
        <f>'[1]North Lobe June 83'!Q11</f>
        <v>18.806160000000002</v>
      </c>
      <c r="G7" s="31">
        <f>'[1]North Lobe June 83'!R11</f>
        <v>14.87424</v>
      </c>
      <c r="H7" s="167"/>
      <c r="I7" s="151"/>
      <c r="J7" s="154"/>
      <c r="K7" s="150"/>
    </row>
    <row r="8" spans="1:11" ht="15" customHeight="1" x14ac:dyDescent="0.25">
      <c r="A8" s="160" t="s">
        <v>50</v>
      </c>
      <c r="B8" s="165">
        <f>'[1]North Lobe June 83'!P7</f>
        <v>8.3820000000000006E-2</v>
      </c>
      <c r="C8" s="152">
        <f>'[1]North Lobe June 83'!Q7</f>
        <v>0.18288000000000001</v>
      </c>
      <c r="D8" s="166">
        <f>'[1]North Lobe June 83'!R7</f>
        <v>3.0480000000000004E-2</v>
      </c>
      <c r="E8" s="29">
        <f>'[1]North Lobe June 83'!P12</f>
        <v>17.26474285714286</v>
      </c>
      <c r="F8" s="30">
        <f>'[1]North Lobe June 83'!Q12</f>
        <v>23.896320000000003</v>
      </c>
      <c r="G8" s="31">
        <f>'[1]North Lobe June 83'!R12</f>
        <v>0.27432000000000001</v>
      </c>
      <c r="H8" s="167"/>
      <c r="I8" s="151"/>
      <c r="J8" s="154"/>
      <c r="K8" s="150"/>
    </row>
    <row r="9" spans="1:11" ht="15" customHeight="1" x14ac:dyDescent="0.25">
      <c r="A9" s="160" t="s">
        <v>51</v>
      </c>
      <c r="B9" s="165">
        <f>'[1]North Lobe June 83'!P8</f>
        <v>0.87629999999999986</v>
      </c>
      <c r="C9" s="152">
        <f>'[1]North Lobe June 83'!Q8</f>
        <v>1.9812000000000001</v>
      </c>
      <c r="D9" s="166">
        <f>'[1]North Lobe June 83'!R8</f>
        <v>0.18897600000000001</v>
      </c>
      <c r="E9" s="29">
        <f>'[1]North Lobe June 83'!P13</f>
        <v>20.273162400000004</v>
      </c>
      <c r="F9" s="30">
        <f>'[1]North Lobe June 83'!Q13</f>
        <v>33.506664000000001</v>
      </c>
      <c r="G9" s="31">
        <f>'[1]North Lobe June 83'!R13</f>
        <v>0.59740800000000005</v>
      </c>
      <c r="H9" s="167"/>
      <c r="I9" s="151"/>
      <c r="J9" s="154"/>
      <c r="K9" s="150"/>
    </row>
    <row r="10" spans="1:11" ht="15" customHeight="1" x14ac:dyDescent="0.25">
      <c r="A10" s="160" t="s">
        <v>52</v>
      </c>
      <c r="B10" s="165">
        <f>'[1]North Lobe June 83'!P9</f>
        <v>1.0706100000000001</v>
      </c>
      <c r="C10" s="152">
        <f>'[1]North Lobe June 83'!Q9</f>
        <v>3.6301680000000003</v>
      </c>
      <c r="D10" s="166">
        <f>'[1]North Lobe June 83'!R9</f>
        <v>0.13716</v>
      </c>
      <c r="E10" s="29">
        <f>'[1]North Lobe June 83'!P14</f>
        <v>18.924117600000002</v>
      </c>
      <c r="F10" s="30">
        <f>'[1]North Lobe June 83'!Q14</f>
        <v>28.998672000000003</v>
      </c>
      <c r="G10" s="31">
        <f>'[1]North Lobe June 83'!R14</f>
        <v>0.347472</v>
      </c>
      <c r="H10" s="167"/>
      <c r="I10" s="151"/>
      <c r="J10" s="154"/>
      <c r="K10" s="150"/>
    </row>
    <row r="11" spans="1:11" ht="15" customHeight="1" x14ac:dyDescent="0.25">
      <c r="A11" s="160" t="s">
        <v>53</v>
      </c>
      <c r="B11" s="165">
        <f>'[1]North Lobe July 86'!P6</f>
        <v>0.11658600000000001</v>
      </c>
      <c r="C11" s="152">
        <f>'[1]North Lobe July 86'!Q6</f>
        <v>0.210312</v>
      </c>
      <c r="D11" s="166">
        <f>'[1]North Lobe July 86'!R6</f>
        <v>5.1816000000000008E-2</v>
      </c>
      <c r="E11" s="29">
        <f>'[1]North Lobe July 86'!P11</f>
        <v>14.473428</v>
      </c>
      <c r="F11" s="30">
        <f>'[1]North Lobe July 86'!Q11</f>
        <v>33.128712</v>
      </c>
      <c r="G11" s="31">
        <f>'[1]North Lobe July 86'!R11</f>
        <v>0.32004000000000005</v>
      </c>
      <c r="H11" s="167"/>
      <c r="I11" s="151"/>
      <c r="J11" s="154"/>
      <c r="K11" s="150"/>
    </row>
    <row r="12" spans="1:11" ht="15" customHeight="1" x14ac:dyDescent="0.25">
      <c r="A12" s="160" t="s">
        <v>54</v>
      </c>
      <c r="B12" s="165">
        <f>'[1]North Lobe July 86'!P7</f>
        <v>0.35356799999999999</v>
      </c>
      <c r="C12" s="152">
        <f>'[1]North Lobe July 86'!Q7</f>
        <v>0.47244000000000003</v>
      </c>
      <c r="D12" s="166">
        <f>'[1]North Lobe July 86'!R7</f>
        <v>0.25603199999999998</v>
      </c>
      <c r="E12" s="29">
        <f>'[1]North Lobe July 86'!P12</f>
        <v>12.807018666666666</v>
      </c>
      <c r="F12" s="30">
        <f>'[1]North Lobe July 86'!Q12</f>
        <v>22.896576000000003</v>
      </c>
      <c r="G12" s="31">
        <f>'[1]North Lobe July 86'!R12</f>
        <v>0.10972800000000001</v>
      </c>
      <c r="H12" s="167"/>
      <c r="I12" s="151"/>
      <c r="J12" s="154"/>
      <c r="K12" s="150"/>
    </row>
    <row r="13" spans="1:11" ht="15" customHeight="1" x14ac:dyDescent="0.25">
      <c r="A13" s="160" t="s">
        <v>55</v>
      </c>
      <c r="B13" s="165">
        <f>'[1]North Lobe July 86'!P8</f>
        <v>6.5531999999999993E-2</v>
      </c>
      <c r="C13" s="152">
        <f>'[1]North Lobe July 86'!Q8</f>
        <v>0.124968</v>
      </c>
      <c r="D13" s="166">
        <f>'[1]North Lobe July 86'!R8</f>
        <v>1.5240000000000002E-2</v>
      </c>
      <c r="E13" s="29">
        <f>'[1]North Lobe July 86'!P13</f>
        <v>10.591800000000001</v>
      </c>
      <c r="F13" s="30">
        <f>'[1]North Lobe July 86'!Q13</f>
        <v>18.925032000000002</v>
      </c>
      <c r="G13" s="31">
        <f>'[1]North Lobe July 86'!R13</f>
        <v>0.384048</v>
      </c>
      <c r="H13" s="167"/>
      <c r="I13" s="151"/>
      <c r="J13" s="154"/>
      <c r="K13" s="150"/>
    </row>
    <row r="14" spans="1:11" ht="15" customHeight="1" x14ac:dyDescent="0.25">
      <c r="A14" s="160" t="s">
        <v>56</v>
      </c>
      <c r="B14" s="29"/>
      <c r="C14" s="30"/>
      <c r="D14" s="31"/>
      <c r="E14" s="29"/>
      <c r="F14" s="30"/>
      <c r="G14" s="31"/>
      <c r="H14" s="167"/>
      <c r="I14" s="151"/>
      <c r="J14" s="154"/>
    </row>
    <row r="15" spans="1:11" ht="15" customHeight="1" x14ac:dyDescent="0.25">
      <c r="A15" s="159" t="s">
        <v>57</v>
      </c>
      <c r="B15" s="167"/>
      <c r="C15" s="30"/>
      <c r="D15" s="31"/>
      <c r="E15" s="167"/>
      <c r="F15" s="30"/>
      <c r="G15" s="31"/>
      <c r="H15" s="167"/>
      <c r="I15" s="30"/>
      <c r="J15" s="31"/>
    </row>
    <row r="16" spans="1:11" ht="15" customHeight="1" x14ac:dyDescent="0.25">
      <c r="A16" s="159" t="s">
        <v>58</v>
      </c>
      <c r="B16" s="167"/>
      <c r="C16" s="30"/>
      <c r="D16" s="31"/>
      <c r="E16" s="167"/>
      <c r="F16" s="30"/>
      <c r="G16" s="31"/>
      <c r="H16" s="167"/>
      <c r="I16" s="30"/>
      <c r="J16" s="31"/>
    </row>
    <row r="17" spans="1:11" ht="15" customHeight="1" x14ac:dyDescent="0.25">
      <c r="A17" s="159" t="s">
        <v>59</v>
      </c>
      <c r="B17" s="29">
        <f>AVERAGE('[1]2003-2015 from R120'!I3,'[1]2003-2015 from R120'!I16,'[1]2003-2015 from R120'!I29,'[1]2003-2015 from R120'!I42,'[1]2003-2015 from R120'!I55,'[1]2003-2015 from R120'!I68,'[1]2003-2015 from R120'!I81)*0.01</f>
        <v>4.3233485865835516E-2</v>
      </c>
      <c r="C17" s="30">
        <f>MAX('[1]2003-2015 from R120'!I3,'[1]2003-2015 from R120'!I16,'[1]2003-2015 from R120'!I29,'[1]2003-2015 from R120'!I42,'[1]2003-2015 from R120'!I55,'[1]2003-2015 from R120'!I68,'[1]2003-2015 from R120'!I81)*0.01</f>
        <v>0.10511207891994336</v>
      </c>
      <c r="D17" s="31">
        <f>MIN('[1]2003-2015 from R120'!I3,'[1]2003-2015 from R120'!I16,'[1]2003-2015 from R120'!I29,'[1]2003-2015 from R120'!I42,'[1]2003-2015 from R120'!I55,'[1]2003-2015 from R120'!I68,'[1]2003-2015 from R120'!I81)*0.01</f>
        <v>0</v>
      </c>
      <c r="E17" s="168">
        <f>'[1]North Lobe 2003-2012 Mid'!I108</f>
        <v>0.21</v>
      </c>
      <c r="F17" s="153">
        <f>'[1]North Lobe 2003-2012 Mid'!I118</f>
        <v>0.63</v>
      </c>
      <c r="G17" s="169">
        <f>'[1]North Lobe 2003-2012 Mid'!I128</f>
        <v>0.02</v>
      </c>
      <c r="H17" s="167">
        <f>'[1]North Lobe 2003-2012 Lower'!H83</f>
        <v>0.11</v>
      </c>
      <c r="I17" s="30">
        <f>'[1]North Lobe 2003-2012 Lower'!H93</f>
        <v>0.17</v>
      </c>
      <c r="J17" s="31">
        <f>'[1]North Lobe 2003-2012 Lower'!H104</f>
        <v>0.03</v>
      </c>
      <c r="K17" s="150"/>
    </row>
    <row r="18" spans="1:11" ht="15" customHeight="1" x14ac:dyDescent="0.25">
      <c r="A18" s="161" t="s">
        <v>60</v>
      </c>
      <c r="B18" s="29">
        <f>AVERAGE('[1]2003-2015 from R120'!I4,'[1]2003-2015 from R120'!I17,'[1]2003-2015 from R120'!I30,'[1]2003-2015 from R120'!I43,'[1]2003-2015 from R120'!I56,'[1]2003-2015 from R120'!I69,'[1]2003-2015 from R120'!I82)*0.01</f>
        <v>0.15640526367417112</v>
      </c>
      <c r="C18" s="30">
        <f>MAX('[1]2003-2015 from R120'!I4,'[1]2003-2015 from R120'!I17,'[1]2003-2015 from R120'!I30,'[1]2003-2015 from R120'!I43,'[1]2003-2015 from R120'!I56,'[1]2003-2015 from R120'!I69,'[1]2003-2015 from R120'!I82)*0.01</f>
        <v>0.23088179365632094</v>
      </c>
      <c r="D18" s="31">
        <f>MIN('[1]2003-2015 from R120'!I4,'[1]2003-2015 from R120'!I17,'[1]2003-2015 from R120'!I30,'[1]2003-2015 from R120'!I43,'[1]2003-2015 from R120'!I56,'[1]2003-2015 from R120'!I69,'[1]2003-2015 from R120'!I82)*0.01</f>
        <v>6.4035086288002502E-2</v>
      </c>
      <c r="E18" s="168">
        <f>'[1]North Lobe 2003-2012 Mid'!I109</f>
        <v>0.16</v>
      </c>
      <c r="F18" s="153">
        <f>'[1]North Lobe 2003-2012 Mid'!I119</f>
        <v>0.56000000000000005</v>
      </c>
      <c r="G18" s="169">
        <f>'[1]North Lobe 2003-2012 Mid'!I129</f>
        <v>0.03</v>
      </c>
      <c r="H18" s="167">
        <f>'[1]North Lobe 2003-2012 Lower'!H84</f>
        <v>0.09</v>
      </c>
      <c r="I18" s="30">
        <f>'[1]North Lobe 2003-2012 Lower'!H94</f>
        <v>0.26</v>
      </c>
      <c r="J18" s="31">
        <f>'[1]North Lobe 2003-2012 Lower'!H105</f>
        <v>0.08</v>
      </c>
      <c r="K18" s="150"/>
    </row>
    <row r="19" spans="1:11" ht="15" customHeight="1" x14ac:dyDescent="0.25">
      <c r="A19" s="161" t="s">
        <v>61</v>
      </c>
      <c r="B19" s="29">
        <f>AVERAGE('[1]2003-2015 from R120'!I5,'[1]2003-2015 from R120'!I18,'[1]2003-2015 from R120'!I31,'[1]2003-2015 from R120'!I44,'[1]2003-2015 from R120'!I57,'[1]2003-2015 from R120'!I70,'[1]2003-2015 from R120'!I83)*0.01</f>
        <v>6.6285284887843854E-2</v>
      </c>
      <c r="C19" s="30">
        <f>MAX('[1]2003-2015 from R120'!I5,'[1]2003-2015 from R120'!I18,'[1]2003-2015 from R120'!I31,'[1]2003-2015 from R120'!I44,'[1]2003-2015 from R120'!I57,'[1]2003-2015 from R120'!I70,'[1]2003-2015 from R120'!I83)*0.01</f>
        <v>0.12242846853516133</v>
      </c>
      <c r="D19" s="31">
        <f>MIN('[1]2003-2015 from R120'!I5,'[1]2003-2015 from R120'!I18,'[1]2003-2015 from R120'!I31,'[1]2003-2015 from R120'!I44,'[1]2003-2015 from R120'!I57,'[1]2003-2015 from R120'!I70,'[1]2003-2015 from R120'!I83)*0.01</f>
        <v>2.8756989234325118E-2</v>
      </c>
      <c r="E19" s="168">
        <f>'[1]North Lobe 2003-2012 Mid'!I110</f>
        <v>0.18</v>
      </c>
      <c r="F19" s="153">
        <f>'[1]North Lobe 2003-2012 Mid'!I120</f>
        <v>0.53</v>
      </c>
      <c r="G19" s="169">
        <f>'[1]North Lobe 2003-2012 Mid'!I130</f>
        <v>0</v>
      </c>
      <c r="H19" s="167">
        <f>'[1]North Lobe 2003-2012 Lower'!H85</f>
        <v>0.13</v>
      </c>
      <c r="I19" s="30">
        <f>'[1]North Lobe 2003-2012 Lower'!H95</f>
        <v>0.18</v>
      </c>
      <c r="J19" s="31">
        <f>'[1]North Lobe 2003-2012 Lower'!H106</f>
        <v>0.05</v>
      </c>
      <c r="K19" s="150"/>
    </row>
    <row r="20" spans="1:11" ht="15" customHeight="1" x14ac:dyDescent="0.25">
      <c r="A20" s="161" t="s">
        <v>62</v>
      </c>
      <c r="B20" s="29">
        <f>AVERAGE('[1]2003-2015 from R120'!I6,'[1]2003-2015 from R120'!I19,'[1]2003-2015 from R120'!I32,'[1]2003-2015 from R120'!I45,'[1]2003-2015 from R120'!I58,'[1]2003-2015 from R120'!I71,'[1]2003-2015 from R120'!I84)*0.01</f>
        <v>5.3279462681234319E-2</v>
      </c>
      <c r="C20" s="30">
        <f>MAX('[1]2003-2015 from R120'!I6,'[1]2003-2015 from R120'!I19,'[1]2003-2015 from R120'!I32,'[1]2003-2015 from R120'!I45,'[1]2003-2015 from R120'!I58,'[1]2003-2015 from R120'!I71,'[1]2003-2015 from R120'!I84)*0.01</f>
        <v>0.17781612643579889</v>
      </c>
      <c r="D20" s="31">
        <f>MIN('[1]2003-2015 from R120'!I6,'[1]2003-2015 from R120'!I19,'[1]2003-2015 from R120'!I32,'[1]2003-2015 from R120'!I45,'[1]2003-2015 from R120'!I58,'[1]2003-2015 from R120'!I71,'[1]2003-2015 from R120'!I84)*0.01</f>
        <v>2.5992509832706127E-2</v>
      </c>
      <c r="E20" s="168">
        <f>'[1]North Lobe 2003-2012 Mid'!I111</f>
        <v>0.13</v>
      </c>
      <c r="F20" s="153">
        <f>'[1]North Lobe 2003-2012 Mid'!I121</f>
        <v>0.43</v>
      </c>
      <c r="G20" s="169">
        <f>'[1]North Lobe 2003-2012 Mid'!I131</f>
        <v>0</v>
      </c>
      <c r="H20" s="167">
        <f>'[1]North Lobe 2003-2012 Lower'!H86</f>
        <v>0.09</v>
      </c>
      <c r="I20" s="30">
        <f>'[1]North Lobe 2003-2012 Lower'!H96</f>
        <v>0.13</v>
      </c>
      <c r="J20" s="31">
        <f>'[1]North Lobe 2003-2012 Lower'!H107</f>
        <v>0.04</v>
      </c>
      <c r="K20" s="150"/>
    </row>
    <row r="21" spans="1:11" ht="15" customHeight="1" x14ac:dyDescent="0.25">
      <c r="A21" s="161" t="s">
        <v>63</v>
      </c>
      <c r="B21" s="29">
        <f>AVERAGE('[1]2003-2015 from R120'!I7,'[1]2003-2015 from R120'!I20,'[1]2003-2015 from R120'!I33,'[1]2003-2015 from R120'!I46,'[1]2003-2015 from R120'!I59,'[1]2003-2015 from R120'!I72,'[1]2003-2015 from R120'!I85)*0.01</f>
        <v>3.171138095510069E-2</v>
      </c>
      <c r="C21" s="30">
        <f>MAX('[1]2003-2015 from R120'!I7,'[1]2003-2015 from R120'!I20,'[1]2003-2015 from R120'!I33,'[1]2003-2015 from R120'!I46,'[1]2003-2015 from R120'!I59,'[1]2003-2015 from R120'!I72,'[1]2003-2015 from R120'!I85)*0.01</f>
        <v>4.6421567070903252E-2</v>
      </c>
      <c r="D21" s="31">
        <f>MIN('[1]2003-2015 from R120'!I7,'[1]2003-2015 from R120'!I20,'[1]2003-2015 from R120'!I33,'[1]2003-2015 from R120'!I46,'[1]2003-2015 from R120'!I59,'[1]2003-2015 from R120'!I72,'[1]2003-2015 from R120'!I85)*0.01</f>
        <v>1.5379213467629474E-2</v>
      </c>
      <c r="E21" s="168">
        <f>'[1]North Lobe 2003-2012 Mid'!I112</f>
        <v>0.1</v>
      </c>
      <c r="F21" s="153">
        <f>'[1]North Lobe 2003-2012 Mid'!I122</f>
        <v>0.31</v>
      </c>
      <c r="G21" s="169">
        <f>'[1]North Lobe 2003-2012 Mid'!I132</f>
        <v>0</v>
      </c>
      <c r="H21" s="167">
        <f>'[1]North Lobe 2003-2012 Lower'!H87</f>
        <v>7.0000000000000007E-2</v>
      </c>
      <c r="I21" s="30">
        <f>'[1]North Lobe 2003-2012 Lower'!H97</f>
        <v>0.1</v>
      </c>
      <c r="J21" s="31">
        <f>'[1]North Lobe 2003-2012 Lower'!H108</f>
        <v>0.03</v>
      </c>
      <c r="K21" s="150"/>
    </row>
    <row r="22" spans="1:11" ht="15" customHeight="1" x14ac:dyDescent="0.25">
      <c r="A22" s="161" t="s">
        <v>64</v>
      </c>
      <c r="B22" s="29">
        <f>AVERAGE('[1]2003-2015 from R120'!I8,'[1]2003-2015 from R120'!I21,'[1]2003-2015 from R120'!I34,'[1]2003-2015 from R120'!I47,'[1]2003-2015 from R120'!I60,'[1]2003-2015 from R120'!I73,'[1]2003-2015 from R120'!I86)*0.01</f>
        <v>2.8674581332143262E-2</v>
      </c>
      <c r="C22" s="30">
        <f>MAX('[1]2003-2015 from R120'!I8,'[1]2003-2015 from R120'!I21,'[1]2003-2015 from R120'!I34,'[1]2003-2015 from R120'!I47,'[1]2003-2015 from R120'!I60,'[1]2003-2015 from R120'!I73,'[1]2003-2015 from R120'!I86)*0.01</f>
        <v>9.9739361660177744E-2</v>
      </c>
      <c r="D22" s="31">
        <f>MIN('[1]2003-2015 from R120'!I8,'[1]2003-2015 from R120'!I21,'[1]2003-2015 from R120'!I34,'[1]2003-2015 from R120'!I47,'[1]2003-2015 from R120'!I60,'[1]2003-2015 from R120'!I73,'[1]2003-2015 from R120'!I86)*0.01</f>
        <v>6.9660991192671863E-3</v>
      </c>
      <c r="E22" s="168">
        <f>'[1]North Lobe 2003-2012 Mid'!I113</f>
        <v>0.06</v>
      </c>
      <c r="F22" s="153">
        <f>'[1]North Lobe 2003-2012 Mid'!I123</f>
        <v>0.21</v>
      </c>
      <c r="G22" s="169">
        <f>'[1]North Lobe 2003-2012 Mid'!I133</f>
        <v>0</v>
      </c>
      <c r="H22" s="167">
        <f>'[1]North Lobe 2003-2012 Lower'!H88</f>
        <v>0.05</v>
      </c>
      <c r="I22" s="30">
        <f>'[1]North Lobe 2003-2012 Lower'!H98</f>
        <v>7.0000000000000007E-2</v>
      </c>
      <c r="J22" s="31">
        <f>'[1]North Lobe 2003-2012 Lower'!H109</f>
        <v>0.14000000000000001</v>
      </c>
      <c r="K22" s="150"/>
    </row>
    <row r="23" spans="1:11" ht="15" customHeight="1" x14ac:dyDescent="0.25">
      <c r="A23" s="161" t="s">
        <v>65</v>
      </c>
      <c r="B23" s="29">
        <f>AVERAGE('[1]2003-2015 from R120'!I9,'[1]2003-2015 from R120'!I22,'[1]2003-2015 from R120'!I35,'[1]2003-2015 from R120'!I48,'[1]2003-2015 from R120'!I61,'[1]2003-2015 from R120'!I74,'[1]2003-2015 from R120'!I87)*0.01</f>
        <v>0.1639256572917408</v>
      </c>
      <c r="C23" s="30">
        <f>MAX('[1]2003-2015 from R120'!I9,'[1]2003-2015 from R120'!I22,'[1]2003-2015 from R120'!I35,'[1]2003-2015 from R120'!I48,'[1]2003-2015 from R120'!I61,'[1]2003-2015 from R120'!I74,'[1]2003-2015 from R120'!I87)*0.01</f>
        <v>0.21791044764703751</v>
      </c>
      <c r="D23" s="31">
        <f>MIN('[1]2003-2015 from R120'!I9,'[1]2003-2015 from R120'!I22,'[1]2003-2015 from R120'!I35,'[1]2003-2015 from R120'!I48,'[1]2003-2015 from R120'!I61,'[1]2003-2015 from R120'!I74,'[1]2003-2015 from R120'!I87)*0.01</f>
        <v>7.7042976826522183E-2</v>
      </c>
      <c r="E23" s="168">
        <f>'[1]North Lobe 2003-2012 Mid'!I114</f>
        <v>0.33</v>
      </c>
      <c r="F23" s="153">
        <f>'[1]North Lobe 2003-2012 Mid'!I124</f>
        <v>1.1000000000000001</v>
      </c>
      <c r="G23" s="169">
        <f>'[1]North Lobe 2003-2012 Mid'!I134</f>
        <v>0.13</v>
      </c>
      <c r="H23" s="167">
        <f>'[1]North Lobe 2003-2012 Lower'!H89</f>
        <v>0.22</v>
      </c>
      <c r="I23" s="30">
        <f>'[1]North Lobe 2003-2012 Lower'!H99</f>
        <v>0.27</v>
      </c>
      <c r="J23" s="31">
        <f>'[1]North Lobe 2003-2012 Lower'!H110</f>
        <v>0.02</v>
      </c>
      <c r="K23" s="150"/>
    </row>
    <row r="24" spans="1:11" ht="15" customHeight="1" x14ac:dyDescent="0.25">
      <c r="A24" s="161" t="s">
        <v>66</v>
      </c>
      <c r="B24" s="29">
        <f>AVERAGE('[1]2003-2015 from R120'!I10,'[1]2003-2015 from R120'!I23,'[1]2003-2015 from R120'!I36,'[1]2003-2015 from R120'!I49,'[1]2003-2015 from R120'!I62,'[1]2003-2015 from R120'!I75,'[1]2003-2015 from R120'!I88)*0.01</f>
        <v>2.5477734123227111E-2</v>
      </c>
      <c r="C24" s="30">
        <f>MAX('[1]2003-2015 from R120'!I10,'[1]2003-2015 from R120'!I23,'[1]2003-2015 from R120'!I36,'[1]2003-2015 from R120'!I49,'[1]2003-2015 from R120'!I62,'[1]2003-2015 from R120'!I75,'[1]2003-2015 from R120'!I88)*0.01</f>
        <v>5.8160691263897224E-2</v>
      </c>
      <c r="D24" s="31">
        <f>MIN('[1]2003-2015 from R120'!I10,'[1]2003-2015 from R120'!I23,'[1]2003-2015 from R120'!I36,'[1]2003-2015 from R120'!I49,'[1]2003-2015 from R120'!I62,'[1]2003-2015 from R120'!I75,'[1]2003-2015 from R120'!I88)*0.01</f>
        <v>1.1406249745050445E-2</v>
      </c>
      <c r="E24" s="29">
        <f>'[1]North Lobe 2003-2012 Mid'!I115</f>
        <v>7.0000000000000007E-2</v>
      </c>
      <c r="F24" s="30">
        <f>'[1]North Lobe 2003-2012 Mid'!I125</f>
        <v>0.24</v>
      </c>
      <c r="G24" s="31">
        <f>'[1]North Lobe 2003-2012 Mid'!I135</f>
        <v>0</v>
      </c>
      <c r="H24" s="167">
        <f>'[1]North Lobe 2003-2012 Lower'!H90</f>
        <v>0.03</v>
      </c>
      <c r="I24" s="30">
        <f>'[1]North Lobe 2003-2012 Lower'!H100</f>
        <v>0.05</v>
      </c>
      <c r="J24" s="31">
        <f>'[1]North Lobe 2003-2012 Lower'!H111</f>
        <v>0.04</v>
      </c>
      <c r="K24" s="150"/>
    </row>
    <row r="25" spans="1:11" ht="15" customHeight="1" x14ac:dyDescent="0.25">
      <c r="A25" s="161" t="s">
        <v>67</v>
      </c>
      <c r="B25" s="29">
        <f>AVERAGE('[1]2003-2015 from R120'!I11,'[1]2003-2015 from R120'!I24,'[1]2003-2015 from R120'!I37,'[1]2003-2015 from R120'!I50,'[1]2003-2015 from R120'!I63,'[1]2003-2015 from R120'!I76,'[1]2003-2015 from R120'!I89)*0.01</f>
        <v>3.4112778456167017E-2</v>
      </c>
      <c r="C25" s="30">
        <f>MAX('[1]2003-2015 from R120'!I11,'[1]2003-2015 from R120'!I24,'[1]2003-2015 from R120'!I37,'[1]2003-2015 from R120'!I50,'[1]2003-2015 from R120'!I63,'[1]2003-2015 from R120'!I76,'[1]2003-2015 from R120'!I89)*0.01</f>
        <v>5.1555183391820247E-2</v>
      </c>
      <c r="D25" s="31">
        <f>MIN('[1]2003-2015 from R120'!I11,'[1]2003-2015 from R120'!I24,'[1]2003-2015 from R120'!I37,'[1]2003-2015 from R120'!I50,'[1]2003-2015 from R120'!I63,'[1]2003-2015 from R120'!I76,'[1]2003-2015 from R120'!I89)*0.01</f>
        <v>2.0221606667032283E-2</v>
      </c>
      <c r="E25" s="29">
        <f>AVERAGE('Mid Slope'!H22,'Mid Slope'!H40,'Mid Slope'!H51,'Mid Slope'!H75,'Mid Slope'!H99,'Mid Slope'!H123,'Mid Slope'!H144,'Mid Slope'!H168,'Mid Slope'!H192,'Mid Slope'!H203)</f>
        <v>7.8245431068370466E-2</v>
      </c>
      <c r="F25" s="30">
        <f>'[1]North Lobe 2003-2012 Mid'!I126</f>
        <v>0.25</v>
      </c>
      <c r="G25" s="31">
        <f>'[1]North Lobe 2003-2012 Mid'!I136</f>
        <v>0.02</v>
      </c>
      <c r="H25" s="29">
        <f>AVERAGE('Lower Slope'!H22,'Lower Slope'!H46,'Lower Slope'!H57,'Lower Slope'!H67,'Lower Slope'!H78,'Lower Slope'!H89,'Lower Slope'!H99,'Lower Slope'!H109)</f>
        <v>5.6250000000000001E-2</v>
      </c>
      <c r="I25" s="30">
        <f>'[1]North Lobe 2003-2012 Lower'!H101</f>
        <v>7.0000000000000007E-2</v>
      </c>
      <c r="J25" s="31">
        <f>'[1]North Lobe 2003-2012 Lower'!H112</f>
        <v>0</v>
      </c>
      <c r="K25" s="150"/>
    </row>
    <row r="26" spans="1:11" ht="15" customHeight="1" x14ac:dyDescent="0.25">
      <c r="A26" s="161" t="s">
        <v>68</v>
      </c>
      <c r="B26" s="29">
        <f>AVERAGE('[1]2003-2015 from R120'!I12,'[1]2003-2015 from R120'!I25,'[1]2003-2015 from R120'!I38,'[1]2003-2015 from R120'!I51,'[1]2003-2015 from R120'!I64,'[1]2003-2015 from R120'!I77,'[1]2003-2015 from R120'!I90)*0.01</f>
        <v>4.0787898832321978E-2</v>
      </c>
      <c r="C26" s="30">
        <f>MAX('[1]2003-2015 from R120'!I12,'[1]2003-2015 from R120'!I25,'[1]2003-2015 from R120'!I38,'[1]2003-2015 from R120'!I51,'[1]2003-2015 from R120'!I64,'[1]2003-2015 from R120'!I77,'[1]2003-2015 from R120'!I90)*0.01</f>
        <v>9.7792842952902637E-2</v>
      </c>
      <c r="D26" s="31">
        <f>MIN('[1]2003-2015 from R120'!I12,'[1]2003-2015 from R120'!I25,'[1]2003-2015 from R120'!I38,'[1]2003-2015 from R120'!I51,'[1]2003-2015 from R120'!I64,'[1]2003-2015 from R120'!I77,'[1]2003-2015 from R120'!I90)*0.01</f>
        <v>5.9549959636843912E-3</v>
      </c>
      <c r="E26" s="91">
        <f>AVERAGE('Mid Slope'!H41,'Mid Slope'!H52,'Mid Slope'!H76,'Mid Slope'!H100,'Mid Slope'!H124,'Mid Slope'!H145,'Mid Slope'!H169,'Mid Slope'!H193,'Mid Slope'!H204)</f>
        <v>3.7913541300286097E-2</v>
      </c>
      <c r="F26" s="92">
        <f>MAX('Mid Slope'!H23,'Mid Slope'!H41,'Mid Slope'!H52,'Mid Slope'!H76,'Mid Slope'!H100,'Mid Slope'!H124,'Mid Slope'!H145,'Mid Slope'!H169,'Mid Slope'!H193,'Mid Slope'!H204)</f>
        <v>0.19379944727293605</v>
      </c>
      <c r="G26" s="179">
        <f>MIN('Mid Slope'!H23,'Mid Slope'!H41,'Mid Slope'!H52,'Mid Slope'!H76,'Mid Slope'!H100,'Mid Slope'!H124,'Mid Slope'!H145,'Mid Slope'!H169,'Mid Slope'!H193,'Mid Slope'!H204)</f>
        <v>9.7042452096931988E-3</v>
      </c>
      <c r="H26" s="91">
        <f>AVERAGE('Lower Slope'!H23,'Lower Slope'!H47,'Lower Slope'!H58,'Lower Slope'!H68,'Lower Slope'!H79,'Lower Slope'!H90,'Lower Slope'!H100,'Lower Slope'!H110)</f>
        <v>2.9845904981748661E-2</v>
      </c>
      <c r="I26" s="92">
        <f>MAX('Lower Slope'!H23,'Lower Slope'!H47,'Lower Slope'!H58,'Lower Slope'!H68,'Lower Slope'!H79,'Lower Slope'!H90,'Lower Slope'!H100,'Lower Slope'!H110)</f>
        <v>6.4054858741132467E-2</v>
      </c>
      <c r="J26" s="179">
        <f>MIN('Lower Slope'!H23,'Lower Slope'!H47,'Lower Slope'!H58,'Lower Slope'!H68,'Lower Slope'!H79,'Lower Slope'!H90,'Lower Slope'!H100,'Lower Slope'!H110)</f>
        <v>9.7760407599763975E-3</v>
      </c>
    </row>
    <row r="27" spans="1:11" ht="15" customHeight="1" x14ac:dyDescent="0.25">
      <c r="A27" s="162" t="s">
        <v>69</v>
      </c>
      <c r="B27" s="42">
        <f>AVERAGE('[1]2003-2015 from R120'!I13,'[1]2003-2015 from R120'!I26,'[1]2003-2015 from R120'!I39,'[1]2003-2015 from R120'!I52,'[1]2003-2015 from R120'!I65,'[1]2003-2015 from R120'!I78,'[1]2003-2015 from R120'!I91)*0.01</f>
        <v>3.8252925665247905E-2</v>
      </c>
      <c r="C27" s="41">
        <f>MAX('[1]2003-2015 from R120'!I13,'[1]2003-2015 from R120'!I26,'[1]2003-2015 from R120'!I39,'[1]2003-2015 from R120'!I52,'[1]2003-2015 from R120'!I65,'[1]2003-2015 from R120'!I78,'[1]2003-2015 from R120'!I91)*0.01</f>
        <v>7.1616816221333729E-2</v>
      </c>
      <c r="D27" s="43">
        <f>MIN('[1]2003-2015 from R120'!I13,'[1]2003-2015 from R120'!I26,'[1]2003-2015 from R120'!I39,'[1]2003-2015 from R120'!I52,'[1]2003-2015 from R120'!I65,'[1]2003-2015 from R120'!I78,'[1]2003-2015 from R120'!I91)*0.01</f>
        <v>7.9748623719936244E-3</v>
      </c>
      <c r="E27" s="170"/>
      <c r="F27" s="155"/>
      <c r="G27" s="156"/>
      <c r="H27" s="170"/>
      <c r="I27" s="155"/>
      <c r="J27" s="156"/>
      <c r="K27" s="149"/>
    </row>
    <row r="29" spans="1:11" x14ac:dyDescent="0.25">
      <c r="A29" t="s">
        <v>70</v>
      </c>
    </row>
    <row r="30" spans="1:11" x14ac:dyDescent="0.25">
      <c r="A30" s="148" t="s">
        <v>71</v>
      </c>
    </row>
    <row r="31" spans="1:11" x14ac:dyDescent="0.25">
      <c r="A31" t="s">
        <v>72</v>
      </c>
    </row>
    <row r="32" spans="1:11" x14ac:dyDescent="0.25">
      <c r="A32" s="148" t="s">
        <v>77</v>
      </c>
    </row>
  </sheetData>
  <mergeCells count="7">
    <mergeCell ref="K1:K4"/>
    <mergeCell ref="A1:J1"/>
    <mergeCell ref="A2:A4"/>
    <mergeCell ref="B2:J2"/>
    <mergeCell ref="B3:D3"/>
    <mergeCell ref="E3:G3"/>
    <mergeCell ref="H3:J3"/>
  </mergeCells>
  <pageMargins left="0.7" right="0.7" top="0.75" bottom="0.75" header="0.3" footer="0.3"/>
  <pageSetup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10"/>
  <sheetViews>
    <sheetView zoomScale="70" zoomScaleNormal="70" workbookViewId="0">
      <pane ySplit="3" topLeftCell="A4" activePane="bottomLeft" state="frozen"/>
      <selection pane="bottomLeft" activeCell="A2" sqref="A2:K3"/>
    </sheetView>
  </sheetViews>
  <sheetFormatPr defaultRowHeight="15" x14ac:dyDescent="0.25"/>
  <cols>
    <col min="1" max="1" width="14.85546875" style="11" customWidth="1"/>
    <col min="2" max="3" width="14.85546875" style="9" customWidth="1"/>
    <col min="4" max="5" width="14.85546875" style="10" customWidth="1"/>
    <col min="6" max="6" width="14.85546875" style="9" customWidth="1"/>
    <col min="7" max="8" width="14.85546875" style="10" customWidth="1"/>
    <col min="9" max="9" width="14.85546875" style="9" customWidth="1"/>
    <col min="10" max="10" width="14.85546875" style="10" customWidth="1"/>
    <col min="11" max="11" width="14.85546875" style="12" customWidth="1"/>
    <col min="12" max="16384" width="9.140625" style="1"/>
  </cols>
  <sheetData>
    <row r="1" spans="1:15" x14ac:dyDescent="0.25">
      <c r="A1" s="186" t="s">
        <v>74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</row>
    <row r="2" spans="1:15" x14ac:dyDescent="0.25">
      <c r="A2" s="191" t="s">
        <v>4</v>
      </c>
      <c r="B2" s="190" t="s">
        <v>6</v>
      </c>
      <c r="C2" s="189" t="s">
        <v>5</v>
      </c>
      <c r="D2" s="189"/>
      <c r="E2" s="189"/>
      <c r="F2" s="189" t="s">
        <v>0</v>
      </c>
      <c r="G2" s="189"/>
      <c r="H2" s="189"/>
      <c r="I2" s="189" t="s">
        <v>1</v>
      </c>
      <c r="J2" s="189"/>
      <c r="K2" s="189"/>
    </row>
    <row r="3" spans="1:15" ht="30" x14ac:dyDescent="0.25">
      <c r="A3" s="210"/>
      <c r="B3" s="190"/>
      <c r="C3" s="171" t="s">
        <v>28</v>
      </c>
      <c r="D3" s="171" t="s">
        <v>27</v>
      </c>
      <c r="E3" s="211" t="s">
        <v>26</v>
      </c>
      <c r="F3" s="6" t="s">
        <v>7</v>
      </c>
      <c r="G3" s="6" t="s">
        <v>3</v>
      </c>
      <c r="H3" s="211" t="s">
        <v>2</v>
      </c>
      <c r="I3" s="6" t="s">
        <v>7</v>
      </c>
      <c r="J3" s="6" t="s">
        <v>3</v>
      </c>
      <c r="K3" s="6" t="s">
        <v>2</v>
      </c>
    </row>
    <row r="4" spans="1:15" ht="15" customHeight="1" x14ac:dyDescent="0.25">
      <c r="A4" s="195">
        <v>1483</v>
      </c>
      <c r="B4" s="16">
        <v>1329</v>
      </c>
      <c r="C4" s="25">
        <v>7148233.0099999998</v>
      </c>
      <c r="D4" s="26">
        <v>513412.67</v>
      </c>
      <c r="E4" s="24">
        <v>609.08000000000004</v>
      </c>
      <c r="F4" s="25"/>
      <c r="G4" s="26"/>
      <c r="H4" s="24"/>
      <c r="I4" s="25"/>
      <c r="J4" s="26"/>
      <c r="K4" s="27"/>
    </row>
    <row r="5" spans="1:15" ht="15" customHeight="1" x14ac:dyDescent="0.25">
      <c r="A5" s="196"/>
      <c r="B5" s="17">
        <v>1671</v>
      </c>
      <c r="C5" s="29">
        <v>7148233.0099999998</v>
      </c>
      <c r="D5" s="30">
        <v>513412.69</v>
      </c>
      <c r="E5" s="28">
        <v>609.02</v>
      </c>
      <c r="F5" s="29">
        <v>0.03</v>
      </c>
      <c r="G5" s="30">
        <v>0.03</v>
      </c>
      <c r="H5" s="28">
        <v>0.03</v>
      </c>
      <c r="I5" s="29">
        <v>-0.06</v>
      </c>
      <c r="J5" s="30">
        <v>-0.06</v>
      </c>
      <c r="K5" s="31">
        <v>-0.06</v>
      </c>
    </row>
    <row r="6" spans="1:15" ht="15" customHeight="1" x14ac:dyDescent="0.25">
      <c r="A6" s="196"/>
      <c r="B6" s="17">
        <v>1728</v>
      </c>
      <c r="C6" s="29">
        <v>7148233.0199999996</v>
      </c>
      <c r="D6" s="30">
        <v>513412.68</v>
      </c>
      <c r="E6" s="28">
        <v>609</v>
      </c>
      <c r="F6" s="29">
        <v>0.02</v>
      </c>
      <c r="G6" s="30">
        <v>0.02</v>
      </c>
      <c r="H6" s="28">
        <v>0.1</v>
      </c>
      <c r="I6" s="29">
        <v>-0.08</v>
      </c>
      <c r="J6" s="30">
        <v>-0.03</v>
      </c>
      <c r="K6" s="31">
        <v>-0.16</v>
      </c>
    </row>
    <row r="7" spans="1:15" ht="15" customHeight="1" x14ac:dyDescent="0.25">
      <c r="A7" s="196"/>
      <c r="B7" s="17">
        <v>2087</v>
      </c>
      <c r="C7" s="29">
        <v>7148233.0300000003</v>
      </c>
      <c r="D7" s="30">
        <v>513412.71</v>
      </c>
      <c r="E7" s="28">
        <v>608.96</v>
      </c>
      <c r="F7" s="29">
        <v>0.05</v>
      </c>
      <c r="G7" s="30">
        <v>0.03</v>
      </c>
      <c r="H7" s="28">
        <v>0.03</v>
      </c>
      <c r="I7" s="29">
        <v>-0.12</v>
      </c>
      <c r="J7" s="30">
        <v>-0.04</v>
      </c>
      <c r="K7" s="31">
        <v>-0.04</v>
      </c>
    </row>
    <row r="8" spans="1:15" ht="15" customHeight="1" x14ac:dyDescent="0.25">
      <c r="A8" s="196"/>
      <c r="B8" s="17">
        <v>2401</v>
      </c>
      <c r="C8" s="29">
        <v>7148233.0599999996</v>
      </c>
      <c r="D8" s="30">
        <v>513412.7</v>
      </c>
      <c r="E8" s="28">
        <v>609</v>
      </c>
      <c r="F8" s="29">
        <v>0.06</v>
      </c>
      <c r="G8" s="30">
        <v>0.03</v>
      </c>
      <c r="H8" s="28">
        <v>0.04</v>
      </c>
      <c r="I8" s="29">
        <v>-0.08</v>
      </c>
      <c r="J8" s="30">
        <v>0.04</v>
      </c>
      <c r="K8" s="31">
        <v>0.05</v>
      </c>
    </row>
    <row r="9" spans="1:15" ht="15" customHeight="1" x14ac:dyDescent="0.25">
      <c r="A9" s="196"/>
      <c r="B9" s="17">
        <v>3113</v>
      </c>
      <c r="C9" s="29">
        <v>7148233.04</v>
      </c>
      <c r="D9" s="30">
        <v>513412.75</v>
      </c>
      <c r="E9" s="28">
        <v>608.94000000000005</v>
      </c>
      <c r="F9" s="29">
        <v>0.08</v>
      </c>
      <c r="G9" s="30">
        <v>0.05</v>
      </c>
      <c r="H9" s="28">
        <v>0.02</v>
      </c>
      <c r="I9" s="29">
        <v>-0.14000000000000001</v>
      </c>
      <c r="J9" s="30">
        <v>-0.06</v>
      </c>
      <c r="K9" s="31">
        <v>-0.03</v>
      </c>
    </row>
    <row r="10" spans="1:15" ht="15" customHeight="1" x14ac:dyDescent="0.25">
      <c r="A10" s="196"/>
      <c r="B10" s="17">
        <v>3854</v>
      </c>
      <c r="C10" s="29">
        <v>7148233.04</v>
      </c>
      <c r="D10" s="30">
        <v>513412.71</v>
      </c>
      <c r="E10" s="28">
        <v>608.9</v>
      </c>
      <c r="F10" s="29">
        <v>0.06</v>
      </c>
      <c r="G10" s="30">
        <v>0.03</v>
      </c>
      <c r="H10" s="28">
        <v>0.02</v>
      </c>
      <c r="I10" s="29">
        <v>-0.18</v>
      </c>
      <c r="J10" s="30">
        <v>-0.04</v>
      </c>
      <c r="K10" s="31">
        <v>-0.02</v>
      </c>
      <c r="O10" s="5"/>
    </row>
    <row r="11" spans="1:15" ht="15" customHeight="1" x14ac:dyDescent="0.25">
      <c r="A11" s="196"/>
      <c r="B11" s="17">
        <v>3921</v>
      </c>
      <c r="C11" s="29">
        <v>7148233.0499999998</v>
      </c>
      <c r="D11" s="30">
        <v>513412.74</v>
      </c>
      <c r="E11" s="28">
        <v>608.87</v>
      </c>
      <c r="F11" s="29">
        <v>0.08</v>
      </c>
      <c r="G11" s="30">
        <v>0.02</v>
      </c>
      <c r="H11" s="28">
        <v>0.12</v>
      </c>
      <c r="I11" s="29">
        <v>-0.21</v>
      </c>
      <c r="J11" s="30">
        <v>-0.02</v>
      </c>
      <c r="K11" s="31">
        <v>-0.12</v>
      </c>
    </row>
    <row r="12" spans="1:15" ht="15" customHeight="1" x14ac:dyDescent="0.25">
      <c r="A12" s="196"/>
      <c r="B12" s="17">
        <v>4241</v>
      </c>
      <c r="C12" s="29">
        <v>7148233.04</v>
      </c>
      <c r="D12" s="30">
        <v>513412.75</v>
      </c>
      <c r="E12" s="28">
        <v>608.85</v>
      </c>
      <c r="F12" s="29">
        <v>0.09</v>
      </c>
      <c r="G12" s="30">
        <v>0.02</v>
      </c>
      <c r="H12" s="28">
        <v>0.02</v>
      </c>
      <c r="I12" s="29">
        <v>-0.23</v>
      </c>
      <c r="J12" s="30">
        <v>-0.02</v>
      </c>
      <c r="K12" s="31">
        <v>-0.03</v>
      </c>
      <c r="O12" s="5"/>
    </row>
    <row r="13" spans="1:15" ht="15" customHeight="1" x14ac:dyDescent="0.25">
      <c r="A13" s="196"/>
      <c r="B13" s="17">
        <v>4602</v>
      </c>
      <c r="C13" s="29">
        <v>7148233.0599999996</v>
      </c>
      <c r="D13" s="30">
        <v>513412.77</v>
      </c>
      <c r="E13" s="28">
        <v>608.79</v>
      </c>
      <c r="F13" s="29">
        <v>0.12</v>
      </c>
      <c r="G13" s="30">
        <v>0.04</v>
      </c>
      <c r="H13" s="28">
        <v>0.04</v>
      </c>
      <c r="I13" s="29">
        <v>-0.28999999999999998</v>
      </c>
      <c r="J13" s="30">
        <v>-0.06</v>
      </c>
      <c r="K13" s="31">
        <v>-0.06</v>
      </c>
    </row>
    <row r="14" spans="1:15" ht="15" customHeight="1" x14ac:dyDescent="0.25">
      <c r="A14" s="196"/>
      <c r="B14" s="17">
        <v>41895</v>
      </c>
      <c r="C14" s="29">
        <v>7148233.0539999995</v>
      </c>
      <c r="D14" s="30">
        <v>513412.78100000002</v>
      </c>
      <c r="E14" s="28">
        <v>608.71900000000005</v>
      </c>
      <c r="F14" s="29">
        <f>F13+G14</f>
        <v>0.13252996410988935</v>
      </c>
      <c r="G14" s="30">
        <v>1.2529964109889347E-2</v>
      </c>
      <c r="H14" s="28">
        <f>0.595499596368439/100</f>
        <v>5.9549959636843895E-3</v>
      </c>
      <c r="I14" s="29"/>
      <c r="J14" s="30"/>
      <c r="K14" s="31"/>
    </row>
    <row r="15" spans="1:15" ht="15" customHeight="1" x14ac:dyDescent="0.25">
      <c r="A15" s="197"/>
      <c r="B15" s="22">
        <v>42264</v>
      </c>
      <c r="C15" s="42">
        <v>7148233.0779999997</v>
      </c>
      <c r="D15" s="41">
        <v>513412.78899999999</v>
      </c>
      <c r="E15" s="40">
        <v>608.69500000000005</v>
      </c>
      <c r="F15" s="42">
        <f>F14+G15</f>
        <v>0.15782818558045908</v>
      </c>
      <c r="G15" s="41">
        <v>2.5298221470569746E-2</v>
      </c>
      <c r="H15" s="40">
        <f>2.50239860074741/100</f>
        <v>2.5023986007474099E-2</v>
      </c>
      <c r="I15" s="42"/>
      <c r="J15" s="41"/>
      <c r="K15" s="43"/>
    </row>
    <row r="16" spans="1:15" ht="15" customHeight="1" x14ac:dyDescent="0.25">
      <c r="A16" s="192">
        <v>26</v>
      </c>
      <c r="B16" s="16" t="s">
        <v>14</v>
      </c>
      <c r="C16" s="25"/>
      <c r="D16" s="26"/>
      <c r="E16" s="24"/>
      <c r="F16" s="25"/>
      <c r="G16" s="26"/>
      <c r="H16" s="88">
        <v>1.9812000000000001</v>
      </c>
      <c r="I16" s="25"/>
      <c r="J16" s="26"/>
      <c r="K16" s="27"/>
    </row>
    <row r="17" spans="1:11" ht="15" customHeight="1" x14ac:dyDescent="0.25">
      <c r="A17" s="193"/>
      <c r="B17" s="17" t="s">
        <v>15</v>
      </c>
      <c r="C17" s="29"/>
      <c r="D17" s="30"/>
      <c r="E17" s="28"/>
      <c r="F17" s="29"/>
      <c r="G17" s="30"/>
      <c r="H17" s="89">
        <v>0.48768000000000006</v>
      </c>
      <c r="I17" s="29"/>
      <c r="J17" s="30"/>
      <c r="K17" s="31"/>
    </row>
    <row r="18" spans="1:11" ht="15" customHeight="1" x14ac:dyDescent="0.25">
      <c r="A18" s="193"/>
      <c r="B18" s="17" t="s">
        <v>16</v>
      </c>
      <c r="C18" s="29"/>
      <c r="D18" s="30"/>
      <c r="E18" s="28"/>
      <c r="F18" s="29"/>
      <c r="G18" s="30"/>
      <c r="H18" s="89">
        <v>0.33528000000000002</v>
      </c>
      <c r="I18" s="29"/>
      <c r="J18" s="30"/>
      <c r="K18" s="31"/>
    </row>
    <row r="19" spans="1:11" ht="15" customHeight="1" x14ac:dyDescent="0.25">
      <c r="A19" s="193"/>
      <c r="B19" s="17" t="s">
        <v>17</v>
      </c>
      <c r="C19" s="29"/>
      <c r="D19" s="30"/>
      <c r="E19" s="28"/>
      <c r="F19" s="29"/>
      <c r="G19" s="30"/>
      <c r="H19" s="89">
        <v>0.15240000000000001</v>
      </c>
      <c r="I19" s="29"/>
      <c r="J19" s="30"/>
      <c r="K19" s="31"/>
    </row>
    <row r="20" spans="1:11" ht="15" customHeight="1" x14ac:dyDescent="0.25">
      <c r="A20" s="193"/>
      <c r="B20" s="17" t="s">
        <v>18</v>
      </c>
      <c r="C20" s="29"/>
      <c r="D20" s="30"/>
      <c r="E20" s="28"/>
      <c r="F20" s="29"/>
      <c r="G20" s="30"/>
      <c r="H20" s="89">
        <v>0.51816000000000006</v>
      </c>
      <c r="I20" s="29"/>
      <c r="J20" s="30"/>
      <c r="K20" s="90">
        <v>-0.18287999999999999</v>
      </c>
    </row>
    <row r="21" spans="1:11" ht="15" customHeight="1" x14ac:dyDescent="0.25">
      <c r="A21" s="193"/>
      <c r="B21" s="17" t="s">
        <v>19</v>
      </c>
      <c r="C21" s="29"/>
      <c r="D21" s="30"/>
      <c r="E21" s="28"/>
      <c r="F21" s="29"/>
      <c r="G21" s="30"/>
      <c r="H21" s="89">
        <v>0.36576000000000003</v>
      </c>
      <c r="I21" s="29"/>
      <c r="J21" s="30"/>
      <c r="K21" s="90">
        <v>-6.096E-2</v>
      </c>
    </row>
    <row r="22" spans="1:11" ht="15" customHeight="1" x14ac:dyDescent="0.25">
      <c r="A22" s="193"/>
      <c r="B22" s="17">
        <v>29799</v>
      </c>
      <c r="C22" s="91"/>
      <c r="D22" s="92"/>
      <c r="E22" s="93"/>
      <c r="F22" s="29"/>
      <c r="G22" s="30"/>
      <c r="H22" s="28">
        <v>1.40208</v>
      </c>
      <c r="I22" s="29"/>
      <c r="J22" s="30"/>
      <c r="K22" s="31">
        <v>0.25907999999999998</v>
      </c>
    </row>
    <row r="23" spans="1:11" ht="15" customHeight="1" x14ac:dyDescent="0.25">
      <c r="A23" s="193"/>
      <c r="B23" s="17">
        <v>30103</v>
      </c>
      <c r="C23" s="91"/>
      <c r="D23" s="92"/>
      <c r="E23" s="93"/>
      <c r="F23" s="29"/>
      <c r="G23" s="30"/>
      <c r="H23" s="28">
        <v>3.048E-2</v>
      </c>
      <c r="I23" s="29"/>
      <c r="J23" s="30"/>
      <c r="K23" s="31">
        <v>-9.1439999999999994E-2</v>
      </c>
    </row>
    <row r="24" spans="1:11" ht="15" customHeight="1" x14ac:dyDescent="0.25">
      <c r="A24" s="193"/>
      <c r="B24" s="17">
        <v>30468</v>
      </c>
      <c r="C24" s="94">
        <f>114489.77*0.3048</f>
        <v>34896.481896000005</v>
      </c>
      <c r="D24" s="95">
        <f>108224.38*0.3048</f>
        <v>32986.791024000006</v>
      </c>
      <c r="E24" s="96">
        <v>576.602352</v>
      </c>
      <c r="F24" s="29"/>
      <c r="G24" s="30"/>
      <c r="H24" s="28">
        <v>1.1000000000000001</v>
      </c>
      <c r="I24" s="29"/>
      <c r="J24" s="30"/>
      <c r="K24" s="31">
        <v>-9.7540000000000002E-2</v>
      </c>
    </row>
    <row r="25" spans="1:11" ht="15" customHeight="1" x14ac:dyDescent="0.25">
      <c r="A25" s="193"/>
      <c r="B25" s="17">
        <v>30560</v>
      </c>
      <c r="C25" s="94">
        <v>114491.7</v>
      </c>
      <c r="D25" s="95">
        <v>108227.57</v>
      </c>
      <c r="E25" s="96">
        <v>576.61759200000006</v>
      </c>
      <c r="F25" s="29"/>
      <c r="G25" s="30"/>
      <c r="H25" s="28">
        <v>3.6301680000000003</v>
      </c>
      <c r="I25" s="29"/>
      <c r="J25" s="30"/>
      <c r="K25" s="31">
        <v>5.1816000000000008E-2</v>
      </c>
    </row>
    <row r="26" spans="1:11" s="2" customFormat="1" ht="15" customHeight="1" x14ac:dyDescent="0.25">
      <c r="A26" s="193"/>
      <c r="B26" s="17">
        <v>30834</v>
      </c>
      <c r="C26" s="97"/>
      <c r="D26" s="98"/>
      <c r="E26" s="93"/>
      <c r="F26" s="29"/>
      <c r="G26" s="50"/>
      <c r="H26" s="28">
        <v>0.08</v>
      </c>
      <c r="I26" s="29"/>
      <c r="J26" s="30"/>
      <c r="K26" s="31">
        <v>-0.2</v>
      </c>
    </row>
    <row r="27" spans="1:11" ht="15" customHeight="1" x14ac:dyDescent="0.25">
      <c r="A27" s="193"/>
      <c r="B27" s="17">
        <v>31199</v>
      </c>
      <c r="C27" s="97"/>
      <c r="D27" s="98"/>
      <c r="E27" s="93"/>
      <c r="F27" s="29"/>
      <c r="G27" s="50"/>
      <c r="H27" s="28">
        <v>0.47</v>
      </c>
      <c r="I27" s="29"/>
      <c r="J27" s="30"/>
      <c r="K27" s="31">
        <v>9.4490000000000005E-2</v>
      </c>
    </row>
    <row r="28" spans="1:11" ht="15" customHeight="1" x14ac:dyDescent="0.25">
      <c r="A28" s="193"/>
      <c r="B28" s="17">
        <v>31594</v>
      </c>
      <c r="C28" s="99">
        <v>108226.26</v>
      </c>
      <c r="D28" s="100">
        <v>1891.24</v>
      </c>
      <c r="E28" s="96">
        <v>576.45000000000005</v>
      </c>
      <c r="F28" s="29"/>
      <c r="G28" s="50"/>
      <c r="H28" s="28">
        <v>0.06</v>
      </c>
      <c r="I28" s="29"/>
      <c r="J28" s="30"/>
      <c r="K28" s="31">
        <v>-0.11278000000000001</v>
      </c>
    </row>
    <row r="29" spans="1:11" ht="15" customHeight="1" x14ac:dyDescent="0.25">
      <c r="A29" s="193"/>
      <c r="B29" s="17">
        <v>1329</v>
      </c>
      <c r="C29" s="29">
        <v>7148341.4500000002</v>
      </c>
      <c r="D29" s="30">
        <v>513483.53</v>
      </c>
      <c r="E29" s="28">
        <v>575.11</v>
      </c>
      <c r="F29" s="29"/>
      <c r="G29" s="51"/>
      <c r="H29" s="101"/>
      <c r="I29" s="29"/>
      <c r="J29" s="51"/>
      <c r="K29" s="102"/>
    </row>
    <row r="30" spans="1:11" ht="15" customHeight="1" x14ac:dyDescent="0.25">
      <c r="A30" s="193"/>
      <c r="B30" s="17">
        <v>1671</v>
      </c>
      <c r="C30" s="29">
        <v>7148341.4800000004</v>
      </c>
      <c r="D30" s="30">
        <v>513483.55</v>
      </c>
      <c r="E30" s="28">
        <v>575.1</v>
      </c>
      <c r="F30" s="29">
        <v>0.04</v>
      </c>
      <c r="G30" s="30">
        <v>0.04</v>
      </c>
      <c r="H30" s="28">
        <v>0.04</v>
      </c>
      <c r="I30" s="29">
        <v>-0.01</v>
      </c>
      <c r="J30" s="30">
        <v>-0.01</v>
      </c>
      <c r="K30" s="31">
        <v>-0.01</v>
      </c>
    </row>
    <row r="31" spans="1:11" ht="15" customHeight="1" x14ac:dyDescent="0.25">
      <c r="A31" s="193"/>
      <c r="B31" s="17">
        <v>1728</v>
      </c>
      <c r="C31" s="29">
        <v>7148341.4900000002</v>
      </c>
      <c r="D31" s="30">
        <v>513483.55</v>
      </c>
      <c r="E31" s="28">
        <v>575.08000000000004</v>
      </c>
      <c r="F31" s="29">
        <v>0.05</v>
      </c>
      <c r="G31" s="30">
        <v>0.02</v>
      </c>
      <c r="H31" s="28">
        <v>0.1</v>
      </c>
      <c r="I31" s="29">
        <v>-0.03</v>
      </c>
      <c r="J31" s="30">
        <v>-0.01</v>
      </c>
      <c r="K31" s="31">
        <v>-0.1</v>
      </c>
    </row>
    <row r="32" spans="1:11" ht="15" customHeight="1" x14ac:dyDescent="0.25">
      <c r="A32" s="193"/>
      <c r="B32" s="17">
        <v>2087</v>
      </c>
      <c r="C32" s="29">
        <v>7148341.4699999997</v>
      </c>
      <c r="D32" s="30">
        <v>513483.57</v>
      </c>
      <c r="E32" s="28">
        <v>575.01</v>
      </c>
      <c r="F32" s="29">
        <v>0.04</v>
      </c>
      <c r="G32" s="30">
        <v>0.04</v>
      </c>
      <c r="H32" s="28">
        <v>0.04</v>
      </c>
      <c r="I32" s="29">
        <v>-0.1</v>
      </c>
      <c r="J32" s="30">
        <v>-7.0000000000000007E-2</v>
      </c>
      <c r="K32" s="31">
        <v>-7.0000000000000007E-2</v>
      </c>
    </row>
    <row r="33" spans="1:14" ht="15" customHeight="1" x14ac:dyDescent="0.25">
      <c r="A33" s="193"/>
      <c r="B33" s="17">
        <v>2401</v>
      </c>
      <c r="C33" s="29">
        <v>7148341.5</v>
      </c>
      <c r="D33" s="30">
        <v>513483.58</v>
      </c>
      <c r="E33" s="28">
        <v>575.07000000000005</v>
      </c>
      <c r="F33" s="29">
        <v>7.0000000000000007E-2</v>
      </c>
      <c r="G33" s="30">
        <v>0.04</v>
      </c>
      <c r="H33" s="28">
        <v>0.04</v>
      </c>
      <c r="I33" s="29">
        <v>-0.04</v>
      </c>
      <c r="J33" s="30">
        <v>0.06</v>
      </c>
      <c r="K33" s="31">
        <v>7.0000000000000007E-2</v>
      </c>
    </row>
    <row r="34" spans="1:14" ht="15" customHeight="1" x14ac:dyDescent="0.25">
      <c r="A34" s="193"/>
      <c r="B34" s="17">
        <v>3113</v>
      </c>
      <c r="C34" s="29">
        <v>7148341.5</v>
      </c>
      <c r="D34" s="30">
        <v>513483.61</v>
      </c>
      <c r="E34" s="28">
        <v>575.02</v>
      </c>
      <c r="F34" s="29">
        <v>0.1</v>
      </c>
      <c r="G34" s="30">
        <v>0.04</v>
      </c>
      <c r="H34" s="28">
        <v>0.02</v>
      </c>
      <c r="I34" s="29">
        <v>-0.09</v>
      </c>
      <c r="J34" s="30">
        <v>-0.05</v>
      </c>
      <c r="K34" s="31">
        <v>-0.03</v>
      </c>
    </row>
    <row r="35" spans="1:14" ht="15" customHeight="1" x14ac:dyDescent="0.25">
      <c r="A35" s="193"/>
      <c r="B35" s="17">
        <v>3854</v>
      </c>
      <c r="C35" s="29">
        <v>7148341.4900000002</v>
      </c>
      <c r="D35" s="30">
        <v>513483.62</v>
      </c>
      <c r="E35" s="28">
        <v>575.01</v>
      </c>
      <c r="F35" s="29">
        <v>0.1</v>
      </c>
      <c r="G35" s="30">
        <v>0.02</v>
      </c>
      <c r="H35" s="28">
        <v>0.01</v>
      </c>
      <c r="I35" s="29">
        <v>-0.1</v>
      </c>
      <c r="J35" s="30">
        <v>-0.01</v>
      </c>
      <c r="K35" s="31">
        <v>-0.01</v>
      </c>
    </row>
    <row r="36" spans="1:14" ht="15" customHeight="1" x14ac:dyDescent="0.25">
      <c r="A36" s="193"/>
      <c r="B36" s="17">
        <v>3921</v>
      </c>
      <c r="C36" s="29">
        <v>7148341.4900000002</v>
      </c>
      <c r="D36" s="30">
        <v>513483.66</v>
      </c>
      <c r="E36" s="28">
        <v>574.97</v>
      </c>
      <c r="F36" s="29">
        <v>0.14000000000000001</v>
      </c>
      <c r="G36" s="30">
        <v>0.04</v>
      </c>
      <c r="H36" s="28">
        <v>0.19</v>
      </c>
      <c r="I36" s="29">
        <v>-0.14000000000000001</v>
      </c>
      <c r="J36" s="30">
        <v>-0.04</v>
      </c>
      <c r="K36" s="31">
        <v>-0.2</v>
      </c>
    </row>
    <row r="37" spans="1:14" ht="15" customHeight="1" x14ac:dyDescent="0.25">
      <c r="A37" s="193"/>
      <c r="B37" s="17">
        <v>4241</v>
      </c>
      <c r="C37" s="29">
        <v>7148341.5</v>
      </c>
      <c r="D37" s="30">
        <v>513483.66</v>
      </c>
      <c r="E37" s="28">
        <v>574.96</v>
      </c>
      <c r="F37" s="29">
        <v>0.14000000000000001</v>
      </c>
      <c r="G37" s="30">
        <v>0.01</v>
      </c>
      <c r="H37" s="28">
        <v>0.01</v>
      </c>
      <c r="I37" s="29">
        <v>-0.15</v>
      </c>
      <c r="J37" s="30">
        <v>-0.01</v>
      </c>
      <c r="K37" s="31">
        <v>-0.01</v>
      </c>
    </row>
    <row r="38" spans="1:14" ht="15" customHeight="1" x14ac:dyDescent="0.25">
      <c r="A38" s="193"/>
      <c r="B38" s="17">
        <v>4602</v>
      </c>
      <c r="C38" s="29">
        <v>7148341.5300000003</v>
      </c>
      <c r="D38" s="30">
        <v>513483.69</v>
      </c>
      <c r="E38" s="28">
        <v>574.91</v>
      </c>
      <c r="F38" s="29">
        <v>0.18</v>
      </c>
      <c r="G38" s="30">
        <v>0.04</v>
      </c>
      <c r="H38" s="28">
        <v>0.04</v>
      </c>
      <c r="I38" s="29">
        <v>-0.2</v>
      </c>
      <c r="J38" s="30">
        <v>-0.05</v>
      </c>
      <c r="K38" s="31">
        <v>-0.05</v>
      </c>
    </row>
    <row r="39" spans="1:14" ht="15" customHeight="1" x14ac:dyDescent="0.25">
      <c r="A39" s="193"/>
      <c r="B39" s="18">
        <v>41895</v>
      </c>
      <c r="C39" s="34">
        <v>7148341.5149999997</v>
      </c>
      <c r="D39" s="32">
        <v>513483.72200000001</v>
      </c>
      <c r="E39" s="103">
        <v>574.90700000000004</v>
      </c>
      <c r="F39" s="59">
        <f>F38+G39</f>
        <v>0.21534119435302981</v>
      </c>
      <c r="G39" s="32">
        <v>3.5341194353029813E-2</v>
      </c>
      <c r="H39" s="33">
        <f>1.67962707537186/100</f>
        <v>1.67962707537186E-2</v>
      </c>
      <c r="I39" s="34"/>
      <c r="J39" s="32"/>
      <c r="K39" s="35"/>
      <c r="L39" s="4"/>
    </row>
    <row r="40" spans="1:14" ht="15" customHeight="1" x14ac:dyDescent="0.25">
      <c r="A40" s="194"/>
      <c r="B40" s="19">
        <v>42264</v>
      </c>
      <c r="C40" s="38">
        <v>7148341.5580000002</v>
      </c>
      <c r="D40" s="36">
        <v>513483.72899999999</v>
      </c>
      <c r="E40" s="104">
        <v>574.83399999999995</v>
      </c>
      <c r="F40" s="61">
        <f>F39+G40</f>
        <v>0.25890723669403837</v>
      </c>
      <c r="G40" s="36">
        <v>4.3566042341008575E-2</v>
      </c>
      <c r="H40" s="37">
        <f>4.30937817194258/100</f>
        <v>4.3093781719425801E-2</v>
      </c>
      <c r="I40" s="38"/>
      <c r="J40" s="36"/>
      <c r="K40" s="39"/>
      <c r="L40" s="4"/>
    </row>
    <row r="41" spans="1:14" ht="15" customHeight="1" x14ac:dyDescent="0.25">
      <c r="A41" s="198" t="s">
        <v>20</v>
      </c>
      <c r="B41" s="20" t="s">
        <v>18</v>
      </c>
      <c r="C41" s="105"/>
      <c r="D41" s="106"/>
      <c r="E41" s="107"/>
      <c r="F41" s="105"/>
      <c r="G41" s="106"/>
      <c r="H41" s="107">
        <v>0.12192000000000001</v>
      </c>
      <c r="I41" s="105"/>
      <c r="J41" s="106"/>
      <c r="K41" s="108">
        <v>-6.096E-2</v>
      </c>
      <c r="L41" s="4"/>
    </row>
    <row r="42" spans="1:14" ht="15" customHeight="1" x14ac:dyDescent="0.25">
      <c r="A42" s="199"/>
      <c r="B42" s="18" t="s">
        <v>19</v>
      </c>
      <c r="C42" s="59"/>
      <c r="D42" s="50"/>
      <c r="E42" s="103"/>
      <c r="F42" s="59"/>
      <c r="G42" s="50"/>
      <c r="H42" s="103">
        <v>0.36576000000000003</v>
      </c>
      <c r="I42" s="59"/>
      <c r="J42" s="50"/>
      <c r="K42" s="52">
        <v>-0.12192</v>
      </c>
      <c r="L42" s="4"/>
    </row>
    <row r="43" spans="1:14" ht="15" customHeight="1" x14ac:dyDescent="0.25">
      <c r="A43" s="199"/>
      <c r="B43" s="18">
        <v>29799</v>
      </c>
      <c r="C43" s="44"/>
      <c r="D43" s="45"/>
      <c r="E43" s="109"/>
      <c r="F43" s="59"/>
      <c r="G43" s="32"/>
      <c r="H43" s="33">
        <v>1.3411200000000001</v>
      </c>
      <c r="I43" s="34"/>
      <c r="J43" s="32"/>
      <c r="K43" s="35">
        <v>0</v>
      </c>
      <c r="L43" s="4"/>
    </row>
    <row r="44" spans="1:14" ht="15" customHeight="1" x14ac:dyDescent="0.25">
      <c r="A44" s="199"/>
      <c r="B44" s="18">
        <v>30103</v>
      </c>
      <c r="C44" s="44"/>
      <c r="D44" s="45"/>
      <c r="E44" s="109"/>
      <c r="F44" s="59"/>
      <c r="G44" s="32"/>
      <c r="H44" s="33">
        <v>3.048E-2</v>
      </c>
      <c r="I44" s="34"/>
      <c r="J44" s="32"/>
      <c r="K44" s="35">
        <v>-1.524E-2</v>
      </c>
      <c r="L44" s="4"/>
    </row>
    <row r="45" spans="1:14" ht="15" customHeight="1" x14ac:dyDescent="0.25">
      <c r="A45" s="199"/>
      <c r="B45" s="21">
        <v>30468</v>
      </c>
      <c r="C45" s="46">
        <f>114318.07*0.3048</f>
        <v>34844.147736000006</v>
      </c>
      <c r="D45" s="47">
        <f>108436.31*0.3048</f>
        <v>33051.387287999998</v>
      </c>
      <c r="E45" s="110">
        <v>554.41291200000001</v>
      </c>
      <c r="F45" s="59"/>
      <c r="G45" s="32"/>
      <c r="H45" s="33">
        <v>1.9812000000000001</v>
      </c>
      <c r="I45" s="34"/>
      <c r="J45" s="32"/>
      <c r="K45" s="35">
        <v>-7.0099999999999996E-2</v>
      </c>
      <c r="L45" s="4"/>
    </row>
    <row r="46" spans="1:14" ht="15" customHeight="1" x14ac:dyDescent="0.25">
      <c r="A46" s="199"/>
      <c r="B46" s="18">
        <v>30560</v>
      </c>
      <c r="C46" s="111">
        <f>114708.42*0.3048</f>
        <v>34963.126415999999</v>
      </c>
      <c r="D46" s="112">
        <f>108420.21*0.3048</f>
        <v>33046.480008000006</v>
      </c>
      <c r="E46" s="113">
        <v>554.36109999999996</v>
      </c>
      <c r="F46" s="59"/>
      <c r="G46" s="32"/>
      <c r="H46" s="33">
        <v>0.13716</v>
      </c>
      <c r="I46" s="34"/>
      <c r="J46" s="32"/>
      <c r="K46" s="35">
        <v>-0.17983199999999999</v>
      </c>
      <c r="L46" s="4"/>
      <c r="N46" s="3"/>
    </row>
    <row r="47" spans="1:14" ht="15" customHeight="1" x14ac:dyDescent="0.25">
      <c r="A47" s="199"/>
      <c r="B47" s="18">
        <v>30834</v>
      </c>
      <c r="C47" s="44"/>
      <c r="D47" s="45"/>
      <c r="E47" s="109"/>
      <c r="F47" s="59"/>
      <c r="G47" s="32"/>
      <c r="H47" s="33">
        <v>0.12</v>
      </c>
      <c r="I47" s="34"/>
      <c r="J47" s="32"/>
      <c r="K47" s="35">
        <v>-0.05</v>
      </c>
      <c r="L47" s="4"/>
      <c r="N47" s="3"/>
    </row>
    <row r="48" spans="1:14" ht="15" customHeight="1" x14ac:dyDescent="0.25">
      <c r="A48" s="199"/>
      <c r="B48" s="18">
        <v>31199</v>
      </c>
      <c r="C48" s="44"/>
      <c r="D48" s="45"/>
      <c r="E48" s="109"/>
      <c r="F48" s="59"/>
      <c r="G48" s="32"/>
      <c r="H48" s="33">
        <v>0.43</v>
      </c>
      <c r="I48" s="34"/>
      <c r="J48" s="32"/>
      <c r="K48" s="35">
        <v>-0.02</v>
      </c>
      <c r="L48" s="4"/>
      <c r="N48" s="3"/>
    </row>
    <row r="49" spans="1:14" ht="15" customHeight="1" x14ac:dyDescent="0.25">
      <c r="A49" s="199"/>
      <c r="B49" s="21">
        <v>31594</v>
      </c>
      <c r="C49" s="46">
        <v>114320.91</v>
      </c>
      <c r="D49" s="47">
        <v>108441.53</v>
      </c>
      <c r="E49" s="110">
        <v>554.27</v>
      </c>
      <c r="F49" s="59"/>
      <c r="G49" s="32"/>
      <c r="H49" s="33">
        <v>0.02</v>
      </c>
      <c r="I49" s="34"/>
      <c r="J49" s="32"/>
      <c r="K49" s="35">
        <v>-7.3150000000000007E-2</v>
      </c>
      <c r="L49" s="4"/>
      <c r="N49" s="3"/>
    </row>
    <row r="50" spans="1:14" ht="15" customHeight="1" x14ac:dyDescent="0.25">
      <c r="A50" s="199"/>
      <c r="B50" s="17">
        <v>1329</v>
      </c>
      <c r="C50" s="29">
        <v>7148290.0499999998</v>
      </c>
      <c r="D50" s="30">
        <v>513549.41</v>
      </c>
      <c r="E50" s="28">
        <v>552.78</v>
      </c>
      <c r="F50" s="29"/>
      <c r="G50" s="51"/>
      <c r="H50" s="101"/>
      <c r="I50" s="29"/>
      <c r="J50" s="51"/>
      <c r="K50" s="102"/>
      <c r="L50" s="4"/>
      <c r="N50" s="3"/>
    </row>
    <row r="51" spans="1:14" ht="15" customHeight="1" x14ac:dyDescent="0.25">
      <c r="A51" s="199"/>
      <c r="B51" s="17">
        <v>1671</v>
      </c>
      <c r="C51" s="29">
        <v>7148290.0899999999</v>
      </c>
      <c r="D51" s="30">
        <v>513549.5</v>
      </c>
      <c r="E51" s="28">
        <v>552.65</v>
      </c>
      <c r="F51" s="29">
        <v>0.09</v>
      </c>
      <c r="G51" s="30">
        <v>0.09</v>
      </c>
      <c r="H51" s="28">
        <v>0.1</v>
      </c>
      <c r="I51" s="29">
        <v>-0.13</v>
      </c>
      <c r="J51" s="30">
        <v>-0.13</v>
      </c>
      <c r="K51" s="31">
        <v>-0.14000000000000001</v>
      </c>
      <c r="L51" s="4"/>
    </row>
    <row r="52" spans="1:14" ht="15" customHeight="1" x14ac:dyDescent="0.25">
      <c r="A52" s="199"/>
      <c r="B52" s="17">
        <v>1728</v>
      </c>
      <c r="C52" s="29">
        <v>7148290.0800000001</v>
      </c>
      <c r="D52" s="30">
        <v>513549.48</v>
      </c>
      <c r="E52" s="28">
        <v>552.63</v>
      </c>
      <c r="F52" s="29">
        <v>0.08</v>
      </c>
      <c r="G52" s="30">
        <v>0.01</v>
      </c>
      <c r="H52" s="28">
        <v>0.09</v>
      </c>
      <c r="I52" s="29">
        <v>-0.15</v>
      </c>
      <c r="J52" s="30">
        <v>-0.02</v>
      </c>
      <c r="K52" s="31">
        <v>-0.12</v>
      </c>
      <c r="L52" s="4"/>
    </row>
    <row r="53" spans="1:14" ht="15" customHeight="1" x14ac:dyDescent="0.25">
      <c r="A53" s="199"/>
      <c r="B53" s="17">
        <v>2087</v>
      </c>
      <c r="C53" s="29">
        <v>7148290.0800000001</v>
      </c>
      <c r="D53" s="30">
        <v>513549.57</v>
      </c>
      <c r="E53" s="28">
        <v>552.5</v>
      </c>
      <c r="F53" s="29">
        <v>0.16</v>
      </c>
      <c r="G53" s="30">
        <v>0.09</v>
      </c>
      <c r="H53" s="28">
        <v>0.09</v>
      </c>
      <c r="I53" s="29">
        <v>-0.28000000000000003</v>
      </c>
      <c r="J53" s="30">
        <v>-0.14000000000000001</v>
      </c>
      <c r="K53" s="31">
        <v>-0.14000000000000001</v>
      </c>
    </row>
    <row r="54" spans="1:14" ht="15" customHeight="1" x14ac:dyDescent="0.25">
      <c r="A54" s="199"/>
      <c r="B54" s="17">
        <v>2401</v>
      </c>
      <c r="C54" s="29">
        <v>7148290.0899999999</v>
      </c>
      <c r="D54" s="30">
        <v>513549.6</v>
      </c>
      <c r="E54" s="28">
        <v>552.54</v>
      </c>
      <c r="F54" s="29">
        <v>0.2</v>
      </c>
      <c r="G54" s="30">
        <v>0.03</v>
      </c>
      <c r="H54" s="28">
        <v>0.04</v>
      </c>
      <c r="I54" s="29">
        <v>-0.24</v>
      </c>
      <c r="J54" s="30">
        <v>0.05</v>
      </c>
      <c r="K54" s="31">
        <v>0.05</v>
      </c>
    </row>
    <row r="55" spans="1:14" ht="15" customHeight="1" x14ac:dyDescent="0.25">
      <c r="A55" s="199"/>
      <c r="B55" s="17">
        <v>3113</v>
      </c>
      <c r="C55" s="29">
        <v>7148290.0800000001</v>
      </c>
      <c r="D55" s="30">
        <v>513549.69</v>
      </c>
      <c r="E55" s="28">
        <v>552.45000000000005</v>
      </c>
      <c r="F55" s="29">
        <v>0.28000000000000003</v>
      </c>
      <c r="G55" s="30">
        <v>0.09</v>
      </c>
      <c r="H55" s="28">
        <v>0.05</v>
      </c>
      <c r="I55" s="29">
        <v>-0.33</v>
      </c>
      <c r="J55" s="30">
        <v>-0.1</v>
      </c>
      <c r="K55" s="31">
        <v>-0.05</v>
      </c>
    </row>
    <row r="56" spans="1:14" ht="15" customHeight="1" x14ac:dyDescent="0.25">
      <c r="A56" s="199"/>
      <c r="B56" s="17">
        <v>3854</v>
      </c>
      <c r="C56" s="29">
        <v>7148290.0899999999</v>
      </c>
      <c r="D56" s="30">
        <v>513549.75</v>
      </c>
      <c r="E56" s="28">
        <v>552.37</v>
      </c>
      <c r="F56" s="29">
        <v>0.34</v>
      </c>
      <c r="G56" s="30">
        <v>0.06</v>
      </c>
      <c r="H56" s="28">
        <v>0.03</v>
      </c>
      <c r="I56" s="29">
        <v>-0.41</v>
      </c>
      <c r="J56" s="30">
        <v>-0.08</v>
      </c>
      <c r="K56" s="31">
        <v>-0.04</v>
      </c>
    </row>
    <row r="57" spans="1:14" ht="15" customHeight="1" x14ac:dyDescent="0.25">
      <c r="A57" s="199"/>
      <c r="B57" s="17">
        <v>3921</v>
      </c>
      <c r="C57" s="29">
        <v>7148290.0800000001</v>
      </c>
      <c r="D57" s="30">
        <v>513549.78</v>
      </c>
      <c r="E57" s="28">
        <v>552.33000000000004</v>
      </c>
      <c r="F57" s="29">
        <v>0.37</v>
      </c>
      <c r="G57" s="30">
        <v>0.03</v>
      </c>
      <c r="H57" s="28">
        <v>0.16</v>
      </c>
      <c r="I57" s="29">
        <v>-0.45</v>
      </c>
      <c r="J57" s="30">
        <v>-0.03</v>
      </c>
      <c r="K57" s="31">
        <v>-0.19</v>
      </c>
    </row>
    <row r="58" spans="1:14" ht="15" customHeight="1" x14ac:dyDescent="0.25">
      <c r="A58" s="199"/>
      <c r="B58" s="17">
        <v>4241</v>
      </c>
      <c r="C58" s="29">
        <v>7148290.0899999999</v>
      </c>
      <c r="D58" s="30">
        <v>513549.83</v>
      </c>
      <c r="E58" s="28">
        <v>552.28</v>
      </c>
      <c r="F58" s="29">
        <v>0.42</v>
      </c>
      <c r="G58" s="30">
        <v>0.05</v>
      </c>
      <c r="H58" s="28">
        <v>0.05</v>
      </c>
      <c r="I58" s="29">
        <v>-0.5</v>
      </c>
      <c r="J58" s="30">
        <v>-0.05</v>
      </c>
      <c r="K58" s="31">
        <v>-0.06</v>
      </c>
    </row>
    <row r="59" spans="1:14" ht="15" customHeight="1" x14ac:dyDescent="0.25">
      <c r="A59" s="199"/>
      <c r="B59" s="17">
        <v>4602</v>
      </c>
      <c r="C59" s="29">
        <v>7148290.0800000001</v>
      </c>
      <c r="D59" s="30">
        <v>513549.88</v>
      </c>
      <c r="E59" s="28">
        <v>552.23</v>
      </c>
      <c r="F59" s="29">
        <v>0.47</v>
      </c>
      <c r="G59" s="30">
        <v>0.06</v>
      </c>
      <c r="H59" s="28">
        <v>0.06</v>
      </c>
      <c r="I59" s="29">
        <v>-0.55000000000000004</v>
      </c>
      <c r="J59" s="30">
        <v>-0.05</v>
      </c>
      <c r="K59" s="31">
        <v>-0.05</v>
      </c>
    </row>
    <row r="60" spans="1:14" ht="15" customHeight="1" x14ac:dyDescent="0.25">
      <c r="A60" s="199"/>
      <c r="B60" s="17">
        <v>41895</v>
      </c>
      <c r="C60" s="59">
        <v>7148290.0729999999</v>
      </c>
      <c r="D60" s="50">
        <v>513550.02100000001</v>
      </c>
      <c r="E60" s="103">
        <v>552.13800000000003</v>
      </c>
      <c r="F60" s="59">
        <f>F59+G60</f>
        <v>0.61117365194661555</v>
      </c>
      <c r="G60" s="50">
        <v>0.14117365194661555</v>
      </c>
      <c r="H60" s="103">
        <f>6.70942486465035/100</f>
        <v>6.7094248646503499E-2</v>
      </c>
      <c r="I60" s="59"/>
      <c r="J60" s="50"/>
      <c r="K60" s="52"/>
    </row>
    <row r="61" spans="1:14" ht="15" customHeight="1" x14ac:dyDescent="0.25">
      <c r="A61" s="200"/>
      <c r="B61" s="22">
        <v>42264</v>
      </c>
      <c r="C61" s="42">
        <v>7148290.108</v>
      </c>
      <c r="D61" s="41">
        <v>513549.99300000002</v>
      </c>
      <c r="E61" s="104">
        <v>552.07299999999998</v>
      </c>
      <c r="F61" s="61">
        <f>F60+G61</f>
        <v>0.65599552171947695</v>
      </c>
      <c r="G61" s="41">
        <v>4.4821869772861435E-2</v>
      </c>
      <c r="H61" s="40">
        <f>4.43359958457843/100</f>
        <v>4.43359958457843E-2</v>
      </c>
      <c r="I61" s="42"/>
      <c r="J61" s="41"/>
      <c r="K61" s="43"/>
    </row>
    <row r="62" spans="1:14" ht="15" customHeight="1" x14ac:dyDescent="0.25">
      <c r="A62" s="198" t="s">
        <v>21</v>
      </c>
      <c r="B62" s="114" t="s">
        <v>14</v>
      </c>
      <c r="C62" s="105"/>
      <c r="D62" s="106"/>
      <c r="E62" s="107"/>
      <c r="F62" s="105"/>
      <c r="G62" s="106"/>
      <c r="H62" s="107">
        <v>1.7373600000000002</v>
      </c>
      <c r="I62" s="105"/>
      <c r="J62" s="106"/>
      <c r="K62" s="108"/>
    </row>
    <row r="63" spans="1:14" ht="15" customHeight="1" x14ac:dyDescent="0.25">
      <c r="A63" s="199"/>
      <c r="B63" s="115" t="s">
        <v>15</v>
      </c>
      <c r="C63" s="59"/>
      <c r="D63" s="50"/>
      <c r="E63" s="103"/>
      <c r="F63" s="59"/>
      <c r="G63" s="50"/>
      <c r="H63" s="103">
        <v>0.48768000000000006</v>
      </c>
      <c r="I63" s="59"/>
      <c r="J63" s="50"/>
      <c r="K63" s="52"/>
    </row>
    <row r="64" spans="1:14" ht="15" customHeight="1" x14ac:dyDescent="0.25">
      <c r="A64" s="199"/>
      <c r="B64" s="115" t="s">
        <v>16</v>
      </c>
      <c r="C64" s="59"/>
      <c r="D64" s="50"/>
      <c r="E64" s="103"/>
      <c r="F64" s="59"/>
      <c r="G64" s="50"/>
      <c r="H64" s="103">
        <v>0.33528000000000002</v>
      </c>
      <c r="I64" s="59"/>
      <c r="J64" s="50"/>
      <c r="K64" s="52"/>
    </row>
    <row r="65" spans="1:11" ht="15" customHeight="1" x14ac:dyDescent="0.25">
      <c r="A65" s="199"/>
      <c r="B65" s="115" t="s">
        <v>17</v>
      </c>
      <c r="C65" s="59"/>
      <c r="D65" s="50"/>
      <c r="E65" s="103"/>
      <c r="F65" s="59"/>
      <c r="G65" s="50"/>
      <c r="H65" s="103">
        <v>0.12192000000000001</v>
      </c>
      <c r="I65" s="59"/>
      <c r="J65" s="50"/>
      <c r="K65" s="52"/>
    </row>
    <row r="66" spans="1:11" ht="15" customHeight="1" x14ac:dyDescent="0.25">
      <c r="A66" s="199"/>
      <c r="B66" s="115" t="s">
        <v>18</v>
      </c>
      <c r="C66" s="59"/>
      <c r="D66" s="50"/>
      <c r="E66" s="103"/>
      <c r="F66" s="59"/>
      <c r="G66" s="50"/>
      <c r="H66" s="103">
        <v>0.39624000000000004</v>
      </c>
      <c r="I66" s="59"/>
      <c r="J66" s="50"/>
      <c r="K66" s="52">
        <v>-9.1439999999999994E-2</v>
      </c>
    </row>
    <row r="67" spans="1:11" ht="15" customHeight="1" x14ac:dyDescent="0.25">
      <c r="A67" s="199"/>
      <c r="B67" s="17" t="s">
        <v>19</v>
      </c>
      <c r="C67" s="29"/>
      <c r="D67" s="30"/>
      <c r="E67" s="103"/>
      <c r="F67" s="59"/>
      <c r="G67" s="30"/>
      <c r="H67" s="28"/>
      <c r="I67" s="29"/>
      <c r="J67" s="30"/>
      <c r="K67" s="31">
        <v>0.15240000000000001</v>
      </c>
    </row>
    <row r="68" spans="1:11" ht="15" customHeight="1" x14ac:dyDescent="0.25">
      <c r="A68" s="199"/>
      <c r="B68" s="18">
        <v>29799</v>
      </c>
      <c r="C68" s="91"/>
      <c r="D68" s="92"/>
      <c r="E68" s="109"/>
      <c r="F68" s="59"/>
      <c r="G68" s="30"/>
      <c r="H68" s="28">
        <v>1.49352</v>
      </c>
      <c r="I68" s="29"/>
      <c r="J68" s="30"/>
      <c r="K68" s="31">
        <v>0.158496</v>
      </c>
    </row>
    <row r="69" spans="1:11" ht="15" customHeight="1" x14ac:dyDescent="0.25">
      <c r="A69" s="199"/>
      <c r="B69" s="18">
        <v>30103</v>
      </c>
      <c r="C69" s="91"/>
      <c r="D69" s="92"/>
      <c r="E69" s="109"/>
      <c r="F69" s="59"/>
      <c r="G69" s="30"/>
      <c r="H69" s="28">
        <v>9.1439999999999994E-2</v>
      </c>
      <c r="I69" s="29"/>
      <c r="J69" s="30"/>
      <c r="K69" s="31">
        <v>-0.13411000000000001</v>
      </c>
    </row>
    <row r="70" spans="1:11" ht="15" customHeight="1" x14ac:dyDescent="0.25">
      <c r="A70" s="199"/>
      <c r="B70" s="18">
        <v>30468</v>
      </c>
      <c r="C70" s="29">
        <f>144483.61*0.3048</f>
        <v>44038.604328000001</v>
      </c>
      <c r="D70" s="30">
        <f>108414.47*0.3048</f>
        <v>33044.730456000005</v>
      </c>
      <c r="E70" s="110">
        <v>559.81396800000005</v>
      </c>
      <c r="F70" s="59"/>
      <c r="G70" s="30"/>
      <c r="H70" s="28">
        <v>0.18897600000000001</v>
      </c>
      <c r="I70" s="29"/>
      <c r="J70" s="30"/>
      <c r="K70" s="31">
        <v>-0.10972999999999999</v>
      </c>
    </row>
    <row r="71" spans="1:11" ht="15" customHeight="1" x14ac:dyDescent="0.25">
      <c r="A71" s="199"/>
      <c r="B71" s="18">
        <v>30560</v>
      </c>
      <c r="C71" s="29">
        <f>114483.41*0.3048</f>
        <v>34894.543368000006</v>
      </c>
      <c r="D71" s="30">
        <f>108414.65*0.3048</f>
        <v>33044.785320000003</v>
      </c>
      <c r="E71" s="110">
        <v>560.0548</v>
      </c>
      <c r="F71" s="59"/>
      <c r="G71" s="30"/>
      <c r="H71" s="28">
        <v>0.28346400000000005</v>
      </c>
      <c r="I71" s="29"/>
      <c r="J71" s="30"/>
      <c r="K71" s="31">
        <v>0.82905600000000013</v>
      </c>
    </row>
    <row r="72" spans="1:11" ht="15" customHeight="1" x14ac:dyDescent="0.25">
      <c r="A72" s="199"/>
      <c r="B72" s="17">
        <v>30834</v>
      </c>
      <c r="C72" s="29"/>
      <c r="D72" s="30"/>
      <c r="E72" s="110"/>
      <c r="F72" s="59"/>
      <c r="G72" s="30"/>
      <c r="H72" s="28">
        <v>0.05</v>
      </c>
      <c r="I72" s="29"/>
      <c r="J72" s="30"/>
      <c r="K72" s="31">
        <v>-0.43</v>
      </c>
    </row>
    <row r="73" spans="1:11" ht="15" customHeight="1" x14ac:dyDescent="0.25">
      <c r="A73" s="199"/>
      <c r="B73" s="17">
        <v>31199</v>
      </c>
      <c r="C73" s="91"/>
      <c r="D73" s="92"/>
      <c r="E73" s="109"/>
      <c r="F73" s="29"/>
      <c r="G73" s="30"/>
      <c r="H73" s="28">
        <v>0.26</v>
      </c>
      <c r="I73" s="29"/>
      <c r="J73" s="30"/>
      <c r="K73" s="31">
        <v>-0.03</v>
      </c>
    </row>
    <row r="74" spans="1:11" ht="15" customHeight="1" x14ac:dyDescent="0.25">
      <c r="A74" s="199"/>
      <c r="B74" s="17">
        <v>31594</v>
      </c>
      <c r="C74" s="29">
        <v>114482.69</v>
      </c>
      <c r="D74" s="30">
        <v>108413.54</v>
      </c>
      <c r="E74" s="110">
        <v>559.59</v>
      </c>
      <c r="F74" s="29"/>
      <c r="G74" s="30"/>
      <c r="H74" s="28">
        <v>0.12</v>
      </c>
      <c r="I74" s="29"/>
      <c r="J74" s="30"/>
      <c r="K74" s="31">
        <v>-0.12497</v>
      </c>
    </row>
    <row r="75" spans="1:11" ht="15" customHeight="1" x14ac:dyDescent="0.25">
      <c r="A75" s="199"/>
      <c r="B75" s="17">
        <v>1329</v>
      </c>
      <c r="C75" s="29">
        <v>7148339.2999999998</v>
      </c>
      <c r="D75" s="30">
        <v>513540.5</v>
      </c>
      <c r="E75" s="28">
        <v>557.82000000000005</v>
      </c>
      <c r="F75" s="29"/>
      <c r="G75" s="51"/>
      <c r="H75" s="101"/>
      <c r="I75" s="29"/>
      <c r="J75" s="51"/>
      <c r="K75" s="102"/>
    </row>
    <row r="76" spans="1:11" ht="15" customHeight="1" x14ac:dyDescent="0.25">
      <c r="A76" s="199"/>
      <c r="B76" s="17">
        <v>1671</v>
      </c>
      <c r="C76" s="29">
        <v>7148339.3200000003</v>
      </c>
      <c r="D76" s="30">
        <v>513540.52</v>
      </c>
      <c r="E76" s="28">
        <v>557.75</v>
      </c>
      <c r="F76" s="29">
        <v>0.03</v>
      </c>
      <c r="G76" s="30">
        <v>0.03</v>
      </c>
      <c r="H76" s="28">
        <v>0.03</v>
      </c>
      <c r="I76" s="29">
        <v>-7.0000000000000007E-2</v>
      </c>
      <c r="J76" s="30">
        <v>-7.0000000000000007E-2</v>
      </c>
      <c r="K76" s="31">
        <v>-0.08</v>
      </c>
    </row>
    <row r="77" spans="1:11" ht="15" customHeight="1" x14ac:dyDescent="0.25">
      <c r="A77" s="199"/>
      <c r="B77" s="17">
        <v>1728</v>
      </c>
      <c r="C77" s="29">
        <v>7148339.3200000003</v>
      </c>
      <c r="D77" s="30">
        <v>513540.49</v>
      </c>
      <c r="E77" s="28">
        <v>557.74</v>
      </c>
      <c r="F77" s="29">
        <v>0.02</v>
      </c>
      <c r="G77" s="30">
        <v>0.02</v>
      </c>
      <c r="H77" s="28">
        <v>0.15</v>
      </c>
      <c r="I77" s="29">
        <v>-0.08</v>
      </c>
      <c r="J77" s="30">
        <v>-0.01</v>
      </c>
      <c r="K77" s="31">
        <v>-0.06</v>
      </c>
    </row>
    <row r="78" spans="1:11" ht="15" customHeight="1" x14ac:dyDescent="0.25">
      <c r="A78" s="199"/>
      <c r="B78" s="17">
        <v>2087</v>
      </c>
      <c r="C78" s="29">
        <v>7148339.3399999999</v>
      </c>
      <c r="D78" s="30">
        <v>513540.56</v>
      </c>
      <c r="E78" s="28">
        <v>557.65</v>
      </c>
      <c r="F78" s="29">
        <v>7.0000000000000007E-2</v>
      </c>
      <c r="G78" s="30">
        <v>7.0000000000000007E-2</v>
      </c>
      <c r="H78" s="28">
        <v>7.0000000000000007E-2</v>
      </c>
      <c r="I78" s="29">
        <v>-0.18</v>
      </c>
      <c r="J78" s="30">
        <v>-0.1</v>
      </c>
      <c r="K78" s="31">
        <v>-0.1</v>
      </c>
    </row>
    <row r="79" spans="1:11" ht="15" customHeight="1" x14ac:dyDescent="0.25">
      <c r="A79" s="199"/>
      <c r="B79" s="17">
        <v>2401</v>
      </c>
      <c r="C79" s="29">
        <v>7148339.3300000001</v>
      </c>
      <c r="D79" s="30">
        <v>513540.54</v>
      </c>
      <c r="E79" s="28">
        <v>557.71</v>
      </c>
      <c r="F79" s="29">
        <v>0.05</v>
      </c>
      <c r="G79" s="30">
        <v>0.02</v>
      </c>
      <c r="H79" s="28">
        <v>0.03</v>
      </c>
      <c r="I79" s="29">
        <v>-0.11</v>
      </c>
      <c r="J79" s="30">
        <v>0.06</v>
      </c>
      <c r="K79" s="31">
        <v>7.0000000000000007E-2</v>
      </c>
    </row>
    <row r="80" spans="1:11" ht="15" customHeight="1" x14ac:dyDescent="0.25">
      <c r="A80" s="199"/>
      <c r="B80" s="17">
        <v>3113</v>
      </c>
      <c r="C80" s="29">
        <v>7148339.3499999996</v>
      </c>
      <c r="D80" s="30">
        <v>513540.59</v>
      </c>
      <c r="E80" s="28">
        <v>557.66999999999996</v>
      </c>
      <c r="F80" s="29">
        <v>0.1</v>
      </c>
      <c r="G80" s="30">
        <v>0.05</v>
      </c>
      <c r="H80" s="28">
        <v>0.03</v>
      </c>
      <c r="I80" s="29">
        <v>-0.15</v>
      </c>
      <c r="J80" s="30">
        <v>-0.04</v>
      </c>
      <c r="K80" s="31">
        <v>-0.02</v>
      </c>
    </row>
    <row r="81" spans="1:11" ht="15" customHeight="1" x14ac:dyDescent="0.25">
      <c r="A81" s="199"/>
      <c r="B81" s="17">
        <v>3854</v>
      </c>
      <c r="C81" s="29">
        <v>7148339.3600000003</v>
      </c>
      <c r="D81" s="30">
        <v>513540.57</v>
      </c>
      <c r="E81" s="28">
        <v>557.61</v>
      </c>
      <c r="F81" s="29">
        <v>0.09</v>
      </c>
      <c r="G81" s="30">
        <v>0.03</v>
      </c>
      <c r="H81" s="28">
        <v>0.02</v>
      </c>
      <c r="I81" s="29">
        <v>-0.21</v>
      </c>
      <c r="J81" s="30">
        <v>-0.06</v>
      </c>
      <c r="K81" s="31">
        <v>-0.03</v>
      </c>
    </row>
    <row r="82" spans="1:11" ht="15" customHeight="1" x14ac:dyDescent="0.25">
      <c r="A82" s="199"/>
      <c r="B82" s="17">
        <v>3921</v>
      </c>
      <c r="C82" s="29">
        <v>7148339.3499999996</v>
      </c>
      <c r="D82" s="30">
        <v>513540.6</v>
      </c>
      <c r="E82" s="28">
        <v>557.6</v>
      </c>
      <c r="F82" s="29">
        <v>0.11</v>
      </c>
      <c r="G82" s="30">
        <v>0.04</v>
      </c>
      <c r="H82" s="28">
        <v>0.19</v>
      </c>
      <c r="I82" s="29">
        <v>-0.22</v>
      </c>
      <c r="J82" s="30">
        <v>-0.01</v>
      </c>
      <c r="K82" s="31">
        <v>-0.04</v>
      </c>
    </row>
    <row r="83" spans="1:11" ht="15" customHeight="1" x14ac:dyDescent="0.25">
      <c r="A83" s="199"/>
      <c r="B83" s="17">
        <v>4241</v>
      </c>
      <c r="C83" s="29">
        <v>7148339.3700000001</v>
      </c>
      <c r="D83" s="30">
        <v>513540.61</v>
      </c>
      <c r="E83" s="28">
        <v>557.59</v>
      </c>
      <c r="F83" s="29">
        <v>0.12</v>
      </c>
      <c r="G83" s="30">
        <v>0.02</v>
      </c>
      <c r="H83" s="28">
        <v>0.02</v>
      </c>
      <c r="I83" s="29">
        <v>-0.23</v>
      </c>
      <c r="J83" s="30">
        <v>-0.01</v>
      </c>
      <c r="K83" s="31">
        <v>-0.01</v>
      </c>
    </row>
    <row r="84" spans="1:11" ht="15" customHeight="1" x14ac:dyDescent="0.25">
      <c r="A84" s="199"/>
      <c r="B84" s="17">
        <v>4602</v>
      </c>
      <c r="C84" s="29">
        <v>7148339.3700000001</v>
      </c>
      <c r="D84" s="30">
        <v>513540.63</v>
      </c>
      <c r="E84" s="28">
        <v>557.55999999999995</v>
      </c>
      <c r="F84" s="29">
        <v>0.15</v>
      </c>
      <c r="G84" s="30">
        <v>0.02</v>
      </c>
      <c r="H84" s="28">
        <v>0.02</v>
      </c>
      <c r="I84" s="29">
        <v>-0.26</v>
      </c>
      <c r="J84" s="30">
        <v>-0.04</v>
      </c>
      <c r="K84" s="31">
        <v>-0.04</v>
      </c>
    </row>
    <row r="85" spans="1:11" ht="15" customHeight="1" x14ac:dyDescent="0.25">
      <c r="A85" s="199"/>
      <c r="B85" s="17">
        <v>41895</v>
      </c>
      <c r="C85" s="29">
        <v>7148339.3389999997</v>
      </c>
      <c r="D85" s="30">
        <v>513540.67200000002</v>
      </c>
      <c r="E85" s="103">
        <v>557.529</v>
      </c>
      <c r="F85" s="59">
        <f>F84+G85</f>
        <v>0.20220153280949019</v>
      </c>
      <c r="G85" s="30">
        <v>5.2201532809490192E-2</v>
      </c>
      <c r="H85" s="28">
        <f>2.4809322233677/100</f>
        <v>2.4809322233677E-2</v>
      </c>
      <c r="I85" s="29"/>
      <c r="J85" s="30"/>
      <c r="K85" s="31"/>
    </row>
    <row r="86" spans="1:11" ht="15" customHeight="1" x14ac:dyDescent="0.25">
      <c r="A86" s="200"/>
      <c r="B86" s="22">
        <v>42264</v>
      </c>
      <c r="C86" s="42">
        <v>7148339.4000000004</v>
      </c>
      <c r="D86" s="41">
        <v>513540.63299999997</v>
      </c>
      <c r="E86" s="104">
        <v>557.50699999999995</v>
      </c>
      <c r="F86" s="61">
        <f>F85+G86</f>
        <v>0.27460319085242757</v>
      </c>
      <c r="G86" s="41">
        <v>7.2401658042937383E-2</v>
      </c>
      <c r="H86" s="40">
        <f>7.16168162213337/100</f>
        <v>7.1616816221333701E-2</v>
      </c>
      <c r="I86" s="42"/>
      <c r="J86" s="41"/>
      <c r="K86" s="43"/>
    </row>
    <row r="87" spans="1:11" ht="15" customHeight="1" x14ac:dyDescent="0.25">
      <c r="A87" s="198" t="s">
        <v>22</v>
      </c>
      <c r="B87" s="16" t="s">
        <v>18</v>
      </c>
      <c r="C87" s="25"/>
      <c r="D87" s="26"/>
      <c r="E87" s="24"/>
      <c r="F87" s="25"/>
      <c r="G87" s="26"/>
      <c r="H87" s="24">
        <v>0.15240000000000001</v>
      </c>
      <c r="I87" s="25"/>
      <c r="J87" s="26"/>
      <c r="K87" s="27">
        <v>-0.27432000000000001</v>
      </c>
    </row>
    <row r="88" spans="1:11" ht="15" customHeight="1" x14ac:dyDescent="0.25">
      <c r="A88" s="199"/>
      <c r="B88" s="17" t="s">
        <v>19</v>
      </c>
      <c r="C88" s="29"/>
      <c r="D88" s="30"/>
      <c r="E88" s="28"/>
      <c r="F88" s="29"/>
      <c r="G88" s="30"/>
      <c r="H88" s="28">
        <v>0.36576000000000003</v>
      </c>
      <c r="I88" s="29"/>
      <c r="J88" s="30"/>
      <c r="K88" s="31">
        <v>-9.1439999999999994E-2</v>
      </c>
    </row>
    <row r="89" spans="1:11" ht="15" customHeight="1" x14ac:dyDescent="0.25">
      <c r="A89" s="199"/>
      <c r="B89" s="17">
        <v>29799</v>
      </c>
      <c r="C89" s="91"/>
      <c r="D89" s="92"/>
      <c r="E89" s="93"/>
      <c r="F89" s="29"/>
      <c r="G89" s="30"/>
      <c r="H89" s="28">
        <v>1.64592</v>
      </c>
      <c r="I89" s="29"/>
      <c r="J89" s="30"/>
      <c r="K89" s="31">
        <v>-0.10058</v>
      </c>
    </row>
    <row r="90" spans="1:11" ht="15" customHeight="1" x14ac:dyDescent="0.25">
      <c r="A90" s="199"/>
      <c r="B90" s="17">
        <v>30103</v>
      </c>
      <c r="C90" s="91"/>
      <c r="D90" s="92"/>
      <c r="E90" s="93"/>
      <c r="F90" s="29"/>
      <c r="G90" s="30"/>
      <c r="H90" s="28">
        <v>0.18287999999999999</v>
      </c>
      <c r="I90" s="29"/>
      <c r="J90" s="30"/>
      <c r="K90" s="31">
        <v>-0.16153999999999999</v>
      </c>
    </row>
    <row r="91" spans="1:11" ht="15" customHeight="1" x14ac:dyDescent="0.25">
      <c r="A91" s="199"/>
      <c r="B91" s="17">
        <v>30468</v>
      </c>
      <c r="C91" s="29">
        <f>114708.52*0.3048</f>
        <v>34963.156896</v>
      </c>
      <c r="D91" s="30">
        <f>108420.02*0.3048</f>
        <v>33046.422096000002</v>
      </c>
      <c r="E91" s="28">
        <v>558.68316000000004</v>
      </c>
      <c r="F91" s="29"/>
      <c r="G91" s="30"/>
      <c r="H91" s="28">
        <v>0.23469599999999999</v>
      </c>
      <c r="I91" s="29"/>
      <c r="J91" s="30"/>
      <c r="K91" s="31">
        <v>-0.20422000000000001</v>
      </c>
    </row>
    <row r="92" spans="1:11" ht="15" customHeight="1" x14ac:dyDescent="0.25">
      <c r="A92" s="199"/>
      <c r="B92" s="17">
        <v>30560</v>
      </c>
      <c r="C92" s="29">
        <f>114708.42*0.3048</f>
        <v>34963.126415999999</v>
      </c>
      <c r="D92" s="30">
        <f>108420.21*0.3048</f>
        <v>33046.480008000006</v>
      </c>
      <c r="E92" s="28">
        <v>558.69535200000007</v>
      </c>
      <c r="F92" s="29"/>
      <c r="G92" s="30"/>
      <c r="H92" s="28">
        <v>0.23164800000000002</v>
      </c>
      <c r="I92" s="29"/>
      <c r="J92" s="30"/>
      <c r="K92" s="31">
        <v>4.2672000000000009E-2</v>
      </c>
    </row>
    <row r="93" spans="1:11" ht="15" customHeight="1" x14ac:dyDescent="0.25">
      <c r="A93" s="199"/>
      <c r="B93" s="17">
        <v>30834</v>
      </c>
      <c r="C93" s="91"/>
      <c r="D93" s="92"/>
      <c r="E93" s="93"/>
      <c r="F93" s="29"/>
      <c r="G93" s="30"/>
      <c r="H93" s="28">
        <v>0.21</v>
      </c>
      <c r="I93" s="29"/>
      <c r="J93" s="30"/>
      <c r="K93" s="31">
        <v>-0.19</v>
      </c>
    </row>
    <row r="94" spans="1:11" ht="15" customHeight="1" x14ac:dyDescent="0.25">
      <c r="A94" s="199"/>
      <c r="B94" s="17">
        <v>31199</v>
      </c>
      <c r="C94" s="91"/>
      <c r="D94" s="92"/>
      <c r="E94" s="93"/>
      <c r="F94" s="29"/>
      <c r="G94" s="30"/>
      <c r="H94" s="28">
        <v>0.26</v>
      </c>
      <c r="I94" s="29"/>
      <c r="J94" s="30"/>
      <c r="K94" s="31">
        <v>-0.05</v>
      </c>
    </row>
    <row r="95" spans="1:11" ht="15" customHeight="1" x14ac:dyDescent="0.25">
      <c r="A95" s="199"/>
      <c r="B95" s="17">
        <v>31594</v>
      </c>
      <c r="C95" s="29">
        <v>114707.93</v>
      </c>
      <c r="D95" s="30">
        <v>108419.85</v>
      </c>
      <c r="E95" s="28">
        <v>558.16999999999996</v>
      </c>
      <c r="F95" s="29"/>
      <c r="G95" s="30"/>
      <c r="H95" s="28">
        <v>0.06</v>
      </c>
      <c r="I95" s="29"/>
      <c r="J95" s="30"/>
      <c r="K95" s="31">
        <v>-0.33528000000000002</v>
      </c>
    </row>
    <row r="96" spans="1:11" ht="15" customHeight="1" x14ac:dyDescent="0.25">
      <c r="A96" s="199"/>
      <c r="B96" s="17">
        <v>1329</v>
      </c>
      <c r="C96" s="29">
        <v>7148407.9800000004</v>
      </c>
      <c r="D96" s="30">
        <v>513543.04</v>
      </c>
      <c r="E96" s="28">
        <v>555.71</v>
      </c>
      <c r="F96" s="29"/>
      <c r="G96" s="51"/>
      <c r="H96" s="101"/>
      <c r="I96" s="29"/>
      <c r="J96" s="51"/>
      <c r="K96" s="102"/>
    </row>
    <row r="97" spans="1:11" ht="15" customHeight="1" x14ac:dyDescent="0.25">
      <c r="A97" s="199"/>
      <c r="B97" s="17">
        <v>1671</v>
      </c>
      <c r="C97" s="29">
        <v>7148408.0099999998</v>
      </c>
      <c r="D97" s="30">
        <v>513543.07</v>
      </c>
      <c r="E97" s="28">
        <v>555.61</v>
      </c>
      <c r="F97" s="29">
        <v>0.04</v>
      </c>
      <c r="G97" s="30">
        <v>0.04</v>
      </c>
      <c r="H97" s="28">
        <v>0.05</v>
      </c>
      <c r="I97" s="29">
        <v>-0.1</v>
      </c>
      <c r="J97" s="30">
        <v>-0.1</v>
      </c>
      <c r="K97" s="31">
        <v>-0.1</v>
      </c>
    </row>
    <row r="98" spans="1:11" ht="15" customHeight="1" x14ac:dyDescent="0.25">
      <c r="A98" s="199"/>
      <c r="B98" s="17">
        <v>1728</v>
      </c>
      <c r="C98" s="29">
        <v>7148408.0300000003</v>
      </c>
      <c r="D98" s="30">
        <v>513543.06</v>
      </c>
      <c r="E98" s="28">
        <v>555.61</v>
      </c>
      <c r="F98" s="29">
        <v>0.06</v>
      </c>
      <c r="G98" s="30">
        <v>0.03</v>
      </c>
      <c r="H98" s="28">
        <v>0.16</v>
      </c>
      <c r="I98" s="29">
        <v>-0.1</v>
      </c>
      <c r="J98" s="30">
        <v>0</v>
      </c>
      <c r="K98" s="31">
        <v>0</v>
      </c>
    </row>
    <row r="99" spans="1:11" ht="15" customHeight="1" x14ac:dyDescent="0.25">
      <c r="A99" s="199"/>
      <c r="B99" s="17">
        <v>2087</v>
      </c>
      <c r="C99" s="29">
        <v>7148408.0099999998</v>
      </c>
      <c r="D99" s="30">
        <v>513543.12</v>
      </c>
      <c r="E99" s="28">
        <v>555.49</v>
      </c>
      <c r="F99" s="29">
        <v>0.09</v>
      </c>
      <c r="G99" s="30">
        <v>0.06</v>
      </c>
      <c r="H99" s="28">
        <v>0.06</v>
      </c>
      <c r="I99" s="29">
        <v>-0.22</v>
      </c>
      <c r="J99" s="30">
        <v>-0.12</v>
      </c>
      <c r="K99" s="31">
        <v>-0.13</v>
      </c>
    </row>
    <row r="100" spans="1:11" ht="15" customHeight="1" x14ac:dyDescent="0.25">
      <c r="A100" s="199"/>
      <c r="B100" s="17">
        <v>2401</v>
      </c>
      <c r="C100" s="29">
        <v>7148408.0199999996</v>
      </c>
      <c r="D100" s="30">
        <v>513543.14</v>
      </c>
      <c r="E100" s="28">
        <v>555.54999999999995</v>
      </c>
      <c r="F100" s="29">
        <v>0.11</v>
      </c>
      <c r="G100" s="30">
        <v>0.03</v>
      </c>
      <c r="H100" s="28">
        <v>0.03</v>
      </c>
      <c r="I100" s="29">
        <v>-0.16</v>
      </c>
      <c r="J100" s="30">
        <v>0.06</v>
      </c>
      <c r="K100" s="31">
        <v>7.0000000000000007E-2</v>
      </c>
    </row>
    <row r="101" spans="1:11" ht="15" customHeight="1" x14ac:dyDescent="0.25">
      <c r="A101" s="199"/>
      <c r="B101" s="17">
        <v>3113</v>
      </c>
      <c r="C101" s="29">
        <v>7148408.04</v>
      </c>
      <c r="D101" s="30">
        <v>513543.21</v>
      </c>
      <c r="E101" s="28">
        <v>555.48</v>
      </c>
      <c r="F101" s="29">
        <v>0.18</v>
      </c>
      <c r="G101" s="30">
        <v>7.0000000000000007E-2</v>
      </c>
      <c r="H101" s="28">
        <v>0.04</v>
      </c>
      <c r="I101" s="29">
        <v>-0.23</v>
      </c>
      <c r="J101" s="30">
        <v>-0.08</v>
      </c>
      <c r="K101" s="31">
        <v>-0.04</v>
      </c>
    </row>
    <row r="102" spans="1:11" ht="15" customHeight="1" x14ac:dyDescent="0.25">
      <c r="A102" s="199"/>
      <c r="B102" s="17">
        <v>3854</v>
      </c>
      <c r="C102" s="29">
        <v>7148408.0300000003</v>
      </c>
      <c r="D102" s="30">
        <v>513543.24</v>
      </c>
      <c r="E102" s="28">
        <v>555.42999999999995</v>
      </c>
      <c r="F102" s="29">
        <v>0.21</v>
      </c>
      <c r="G102" s="30">
        <v>0.03</v>
      </c>
      <c r="H102" s="28">
        <v>0.01</v>
      </c>
      <c r="I102" s="29">
        <v>-0.28999999999999998</v>
      </c>
      <c r="J102" s="30">
        <v>-0.05</v>
      </c>
      <c r="K102" s="31">
        <v>-0.03</v>
      </c>
    </row>
    <row r="103" spans="1:11" ht="15" customHeight="1" x14ac:dyDescent="0.25">
      <c r="A103" s="199"/>
      <c r="B103" s="17">
        <v>3921</v>
      </c>
      <c r="C103" s="29">
        <v>7148408.04</v>
      </c>
      <c r="D103" s="30">
        <v>513543.27</v>
      </c>
      <c r="E103" s="28">
        <v>555.4</v>
      </c>
      <c r="F103" s="29">
        <v>0.24</v>
      </c>
      <c r="G103" s="30">
        <v>0.03</v>
      </c>
      <c r="H103" s="28">
        <v>0.17</v>
      </c>
      <c r="I103" s="29">
        <v>-0.31</v>
      </c>
      <c r="J103" s="30">
        <v>-0.03</v>
      </c>
      <c r="K103" s="31">
        <v>-0.15</v>
      </c>
    </row>
    <row r="104" spans="1:11" ht="15" customHeight="1" x14ac:dyDescent="0.25">
      <c r="A104" s="199"/>
      <c r="B104" s="17">
        <v>4241</v>
      </c>
      <c r="C104" s="29">
        <v>7148408.0499999998</v>
      </c>
      <c r="D104" s="30">
        <v>513543.29</v>
      </c>
      <c r="E104" s="28">
        <v>555.37</v>
      </c>
      <c r="F104" s="29">
        <v>0.26</v>
      </c>
      <c r="G104" s="30">
        <v>0.02</v>
      </c>
      <c r="H104" s="28">
        <v>0.02</v>
      </c>
      <c r="I104" s="29">
        <v>-0.34</v>
      </c>
      <c r="J104" s="30">
        <v>-0.03</v>
      </c>
      <c r="K104" s="31">
        <v>-0.03</v>
      </c>
    </row>
    <row r="105" spans="1:11" ht="15" customHeight="1" x14ac:dyDescent="0.25">
      <c r="A105" s="199"/>
      <c r="B105" s="17">
        <v>4602</v>
      </c>
      <c r="C105" s="29">
        <v>7148408.0700000003</v>
      </c>
      <c r="D105" s="30">
        <v>513543.32</v>
      </c>
      <c r="E105" s="28">
        <v>555.33000000000004</v>
      </c>
      <c r="F105" s="29">
        <v>0.28999999999999998</v>
      </c>
      <c r="G105" s="30">
        <v>0.04</v>
      </c>
      <c r="H105" s="28">
        <v>0.04</v>
      </c>
      <c r="I105" s="29">
        <v>-0.38</v>
      </c>
      <c r="J105" s="30">
        <v>-0.04</v>
      </c>
      <c r="K105" s="31">
        <v>-0.04</v>
      </c>
    </row>
    <row r="106" spans="1:11" ht="15" customHeight="1" x14ac:dyDescent="0.25">
      <c r="A106" s="199"/>
      <c r="B106" s="17">
        <v>41895</v>
      </c>
      <c r="C106" s="29">
        <v>7148408.0590000004</v>
      </c>
      <c r="D106" s="30">
        <v>513543.397</v>
      </c>
      <c r="E106" s="103">
        <v>555.26300000000003</v>
      </c>
      <c r="F106" s="59">
        <f>F105+G106</f>
        <v>0.36778174591241025</v>
      </c>
      <c r="G106" s="30">
        <v>7.7781745912410258E-2</v>
      </c>
      <c r="H106" s="28">
        <f>3.69665849713929/100</f>
        <v>3.69665849713929E-2</v>
      </c>
      <c r="I106" s="29"/>
      <c r="J106" s="30"/>
      <c r="K106" s="31"/>
    </row>
    <row r="107" spans="1:11" ht="15" customHeight="1" x14ac:dyDescent="0.25">
      <c r="A107" s="200"/>
      <c r="B107" s="22">
        <v>42264</v>
      </c>
      <c r="C107" s="42">
        <v>7148408.0990000004</v>
      </c>
      <c r="D107" s="41">
        <v>513543.37400000001</v>
      </c>
      <c r="E107" s="104">
        <v>555.24900000000002</v>
      </c>
      <c r="F107" s="61">
        <f>F106+G107</f>
        <v>0.41392283391821089</v>
      </c>
      <c r="G107" s="41">
        <v>4.6141088005800641E-2</v>
      </c>
      <c r="H107" s="40">
        <f>4.56409136100738/100</f>
        <v>4.5640913610073802E-2</v>
      </c>
      <c r="I107" s="42"/>
      <c r="J107" s="41"/>
      <c r="K107" s="43"/>
    </row>
    <row r="108" spans="1:11" ht="15" customHeight="1" x14ac:dyDescent="0.25">
      <c r="A108" s="198" t="s">
        <v>23</v>
      </c>
      <c r="B108" s="16">
        <v>1329</v>
      </c>
      <c r="C108" s="25">
        <v>7148488.3600000003</v>
      </c>
      <c r="D108" s="26">
        <v>513563.01</v>
      </c>
      <c r="E108" s="24">
        <v>530.33000000000004</v>
      </c>
      <c r="F108" s="25"/>
      <c r="G108" s="55"/>
      <c r="H108" s="116"/>
      <c r="I108" s="25"/>
      <c r="J108" s="55"/>
      <c r="K108" s="56"/>
    </row>
    <row r="109" spans="1:11" ht="15" customHeight="1" x14ac:dyDescent="0.25">
      <c r="A109" s="199"/>
      <c r="B109" s="17">
        <v>1671</v>
      </c>
      <c r="C109" s="29">
        <v>7148488.3600000003</v>
      </c>
      <c r="D109" s="30">
        <v>513563.01</v>
      </c>
      <c r="E109" s="28">
        <v>530.29</v>
      </c>
      <c r="F109" s="29">
        <v>0.01</v>
      </c>
      <c r="G109" s="30">
        <v>0.01</v>
      </c>
      <c r="H109" s="28">
        <v>0.01</v>
      </c>
      <c r="I109" s="29">
        <v>-0.04</v>
      </c>
      <c r="J109" s="30">
        <v>-0.04</v>
      </c>
      <c r="K109" s="31">
        <v>-0.05</v>
      </c>
    </row>
    <row r="110" spans="1:11" ht="15" customHeight="1" x14ac:dyDescent="0.25">
      <c r="A110" s="199"/>
      <c r="B110" s="17">
        <v>1728</v>
      </c>
      <c r="C110" s="29">
        <v>7148488.3300000001</v>
      </c>
      <c r="D110" s="30">
        <v>513562.99</v>
      </c>
      <c r="E110" s="28">
        <v>530.29999999999995</v>
      </c>
      <c r="F110" s="29">
        <v>0.03</v>
      </c>
      <c r="G110" s="30">
        <v>0.03</v>
      </c>
      <c r="H110" s="28">
        <v>0.22</v>
      </c>
      <c r="I110" s="29">
        <v>-0.03</v>
      </c>
      <c r="J110" s="30">
        <v>0.01</v>
      </c>
      <c r="K110" s="31">
        <v>0.08</v>
      </c>
    </row>
    <row r="111" spans="1:11" ht="15" customHeight="1" x14ac:dyDescent="0.25">
      <c r="A111" s="199"/>
      <c r="B111" s="17">
        <v>2087</v>
      </c>
      <c r="C111" s="29">
        <v>7148488.3399999999</v>
      </c>
      <c r="D111" s="30">
        <v>513562.87</v>
      </c>
      <c r="E111" s="28">
        <v>530.24</v>
      </c>
      <c r="F111" s="29">
        <v>0.14000000000000001</v>
      </c>
      <c r="G111" s="30">
        <v>0.12</v>
      </c>
      <c r="H111" s="28">
        <v>0.12</v>
      </c>
      <c r="I111" s="29">
        <v>-0.09</v>
      </c>
      <c r="J111" s="30">
        <v>-0.06</v>
      </c>
      <c r="K111" s="31">
        <v>-0.06</v>
      </c>
    </row>
    <row r="112" spans="1:11" ht="15" customHeight="1" x14ac:dyDescent="0.25">
      <c r="A112" s="199"/>
      <c r="B112" s="17">
        <v>2401</v>
      </c>
      <c r="C112" s="29">
        <v>7148488.3700000001</v>
      </c>
      <c r="D112" s="30">
        <v>513563.02</v>
      </c>
      <c r="E112" s="28">
        <v>530.34</v>
      </c>
      <c r="F112" s="29">
        <v>0.02</v>
      </c>
      <c r="G112" s="30">
        <v>0.16</v>
      </c>
      <c r="H112" s="28">
        <v>0.18</v>
      </c>
      <c r="I112" s="29">
        <v>0.01</v>
      </c>
      <c r="J112" s="30">
        <v>0.1</v>
      </c>
      <c r="K112" s="31">
        <v>0.11</v>
      </c>
    </row>
    <row r="113" spans="1:11" ht="15" customHeight="1" x14ac:dyDescent="0.25">
      <c r="A113" s="199"/>
      <c r="B113" s="17">
        <v>3113</v>
      </c>
      <c r="C113" s="29">
        <v>7148488.4299999997</v>
      </c>
      <c r="D113" s="30">
        <v>513563.07</v>
      </c>
      <c r="E113" s="28">
        <v>530.36</v>
      </c>
      <c r="F113" s="29">
        <v>0.1</v>
      </c>
      <c r="G113" s="30">
        <v>7.0000000000000007E-2</v>
      </c>
      <c r="H113" s="28">
        <v>0.04</v>
      </c>
      <c r="I113" s="29">
        <v>0.03</v>
      </c>
      <c r="J113" s="30">
        <v>0.02</v>
      </c>
      <c r="K113" s="31">
        <v>0.01</v>
      </c>
    </row>
    <row r="114" spans="1:11" ht="15" customHeight="1" x14ac:dyDescent="0.25">
      <c r="A114" s="199"/>
      <c r="B114" s="17">
        <v>3854</v>
      </c>
      <c r="C114" s="29">
        <v>7148488.3600000003</v>
      </c>
      <c r="D114" s="30">
        <v>513562.88</v>
      </c>
      <c r="E114" s="28">
        <v>530.38</v>
      </c>
      <c r="F114" s="29">
        <v>0.14000000000000001</v>
      </c>
      <c r="G114" s="30">
        <v>0.21</v>
      </c>
      <c r="H114" s="28">
        <v>0.1</v>
      </c>
      <c r="I114" s="29">
        <v>0.05</v>
      </c>
      <c r="J114" s="30">
        <v>0.02</v>
      </c>
      <c r="K114" s="31">
        <v>0.01</v>
      </c>
    </row>
    <row r="115" spans="1:11" ht="15" customHeight="1" x14ac:dyDescent="0.25">
      <c r="A115" s="199"/>
      <c r="B115" s="17">
        <v>3921</v>
      </c>
      <c r="C115" s="29">
        <v>7148488.3600000003</v>
      </c>
      <c r="D115" s="30">
        <v>513562.91</v>
      </c>
      <c r="E115" s="28">
        <v>530.35</v>
      </c>
      <c r="F115" s="29">
        <v>0.11</v>
      </c>
      <c r="G115" s="30">
        <v>0.03</v>
      </c>
      <c r="H115" s="28">
        <v>0.16</v>
      </c>
      <c r="I115" s="29">
        <v>0.02</v>
      </c>
      <c r="J115" s="30">
        <v>-0.03</v>
      </c>
      <c r="K115" s="31">
        <v>-0.17</v>
      </c>
    </row>
    <row r="116" spans="1:11" ht="15" customHeight="1" x14ac:dyDescent="0.25">
      <c r="A116" s="199"/>
      <c r="B116" s="17">
        <v>4241</v>
      </c>
      <c r="C116" s="29">
        <v>7148488.3700000001</v>
      </c>
      <c r="D116" s="30">
        <v>513562.9</v>
      </c>
      <c r="E116" s="28">
        <v>530.35</v>
      </c>
      <c r="F116" s="29">
        <v>0.11</v>
      </c>
      <c r="G116" s="30">
        <v>0.01</v>
      </c>
      <c r="H116" s="28">
        <v>0.01</v>
      </c>
      <c r="I116" s="29">
        <v>0.02</v>
      </c>
      <c r="J116" s="30">
        <v>0</v>
      </c>
      <c r="K116" s="31">
        <v>0</v>
      </c>
    </row>
    <row r="117" spans="1:11" ht="15" customHeight="1" x14ac:dyDescent="0.25">
      <c r="A117" s="199"/>
      <c r="B117" s="17">
        <v>4602</v>
      </c>
      <c r="C117" s="29">
        <v>7148488.3899999997</v>
      </c>
      <c r="D117" s="30">
        <v>513562.91</v>
      </c>
      <c r="E117" s="28">
        <v>530.33000000000004</v>
      </c>
      <c r="F117" s="29">
        <v>0.11</v>
      </c>
      <c r="G117" s="30">
        <v>0.02</v>
      </c>
      <c r="H117" s="28">
        <v>0.02</v>
      </c>
      <c r="I117" s="29">
        <v>0</v>
      </c>
      <c r="J117" s="30">
        <v>-0.02</v>
      </c>
      <c r="K117" s="31">
        <v>-0.02</v>
      </c>
    </row>
    <row r="118" spans="1:11" ht="15" customHeight="1" x14ac:dyDescent="0.25">
      <c r="A118" s="199"/>
      <c r="B118" s="17">
        <v>41895</v>
      </c>
      <c r="C118" s="29">
        <v>7148488.4780000001</v>
      </c>
      <c r="D118" s="30">
        <v>513563.09600000002</v>
      </c>
      <c r="E118" s="103">
        <v>530.31299999999999</v>
      </c>
      <c r="F118" s="59">
        <f>F117+G118</f>
        <v>0.12252996410988935</v>
      </c>
      <c r="G118" s="30">
        <v>1.2529964109889347E-2</v>
      </c>
      <c r="H118" s="28">
        <f>0.595499596368439/100</f>
        <v>5.9549959636843895E-3</v>
      </c>
      <c r="I118" s="29"/>
      <c r="J118" s="30"/>
      <c r="K118" s="31"/>
    </row>
    <row r="119" spans="1:11" ht="15" customHeight="1" x14ac:dyDescent="0.25">
      <c r="A119" s="200"/>
      <c r="B119" s="22">
        <v>42264</v>
      </c>
      <c r="C119" s="42">
        <v>7148488.5080000004</v>
      </c>
      <c r="D119" s="41">
        <v>513563.09100000001</v>
      </c>
      <c r="E119" s="104">
        <v>530.31500000000005</v>
      </c>
      <c r="F119" s="61">
        <f>F118+G119</f>
        <v>0.1478281855804591</v>
      </c>
      <c r="G119" s="41">
        <v>2.5298221470569746E-2</v>
      </c>
      <c r="H119" s="40">
        <f>2.50239860074741/100</f>
        <v>2.5023986007474099E-2</v>
      </c>
      <c r="I119" s="42"/>
      <c r="J119" s="41"/>
      <c r="K119" s="43"/>
    </row>
    <row r="120" spans="1:11" ht="15" customHeight="1" x14ac:dyDescent="0.25">
      <c r="A120" s="192">
        <v>1495</v>
      </c>
      <c r="B120" s="16">
        <v>1329</v>
      </c>
      <c r="C120" s="25">
        <v>7148526.5899999999</v>
      </c>
      <c r="D120" s="26">
        <v>513528.92</v>
      </c>
      <c r="E120" s="24">
        <v>529.05999999999995</v>
      </c>
      <c r="F120" s="25"/>
      <c r="G120" s="55"/>
      <c r="H120" s="116"/>
      <c r="I120" s="25"/>
      <c r="J120" s="55"/>
      <c r="K120" s="56"/>
    </row>
    <row r="121" spans="1:11" ht="15" customHeight="1" x14ac:dyDescent="0.25">
      <c r="A121" s="193"/>
      <c r="B121" s="17">
        <v>1671</v>
      </c>
      <c r="C121" s="29">
        <v>7148526.6200000001</v>
      </c>
      <c r="D121" s="30">
        <v>513528.97</v>
      </c>
      <c r="E121" s="28">
        <v>529.04999999999995</v>
      </c>
      <c r="F121" s="29">
        <v>0.06</v>
      </c>
      <c r="G121" s="30">
        <v>0.06</v>
      </c>
      <c r="H121" s="28">
        <v>0.06</v>
      </c>
      <c r="I121" s="29">
        <v>-0.01</v>
      </c>
      <c r="J121" s="30">
        <v>-0.01</v>
      </c>
      <c r="K121" s="31">
        <v>-0.01</v>
      </c>
    </row>
    <row r="122" spans="1:11" ht="15" customHeight="1" x14ac:dyDescent="0.25">
      <c r="A122" s="193"/>
      <c r="B122" s="17">
        <v>1728</v>
      </c>
      <c r="C122" s="29">
        <v>7148526.6500000004</v>
      </c>
      <c r="D122" s="30">
        <v>513528.95</v>
      </c>
      <c r="E122" s="28">
        <v>529.07000000000005</v>
      </c>
      <c r="F122" s="29">
        <v>0.06</v>
      </c>
      <c r="G122" s="30">
        <v>0.03</v>
      </c>
      <c r="H122" s="28">
        <v>0.2</v>
      </c>
      <c r="I122" s="29">
        <v>0.01</v>
      </c>
      <c r="J122" s="30">
        <v>0.01</v>
      </c>
      <c r="K122" s="31">
        <v>0.08</v>
      </c>
    </row>
    <row r="123" spans="1:11" ht="15" customHeight="1" x14ac:dyDescent="0.25">
      <c r="A123" s="193"/>
      <c r="B123" s="17">
        <v>2087</v>
      </c>
      <c r="C123" s="29">
        <v>7148526.6500000004</v>
      </c>
      <c r="D123" s="30">
        <v>513529</v>
      </c>
      <c r="E123" s="28">
        <v>528.97</v>
      </c>
      <c r="F123" s="29">
        <v>0.1</v>
      </c>
      <c r="G123" s="30">
        <v>0.05</v>
      </c>
      <c r="H123" s="28">
        <v>0.05</v>
      </c>
      <c r="I123" s="29">
        <v>-0.09</v>
      </c>
      <c r="J123" s="30">
        <v>-0.1</v>
      </c>
      <c r="K123" s="31">
        <v>-0.1</v>
      </c>
    </row>
    <row r="124" spans="1:11" ht="15" customHeight="1" x14ac:dyDescent="0.25">
      <c r="A124" s="193"/>
      <c r="B124" s="17">
        <v>2401</v>
      </c>
      <c r="C124" s="29">
        <v>7148526.6699999999</v>
      </c>
      <c r="D124" s="30">
        <v>513529.02</v>
      </c>
      <c r="E124" s="28">
        <v>529.05999999999995</v>
      </c>
      <c r="F124" s="29">
        <v>0.13</v>
      </c>
      <c r="G124" s="30">
        <v>0.03</v>
      </c>
      <c r="H124" s="28">
        <v>0.03</v>
      </c>
      <c r="I124" s="29">
        <v>0</v>
      </c>
      <c r="J124" s="30">
        <v>0.09</v>
      </c>
      <c r="K124" s="31">
        <v>0.11</v>
      </c>
    </row>
    <row r="125" spans="1:11" ht="15" customHeight="1" x14ac:dyDescent="0.25">
      <c r="A125" s="193"/>
      <c r="B125" s="17">
        <v>3113</v>
      </c>
      <c r="C125" s="29">
        <v>7148526.6900000004</v>
      </c>
      <c r="D125" s="30">
        <v>513529.07</v>
      </c>
      <c r="E125" s="28">
        <v>529.04</v>
      </c>
      <c r="F125" s="29">
        <v>0.18</v>
      </c>
      <c r="G125" s="30">
        <v>0.06</v>
      </c>
      <c r="H125" s="28">
        <v>0.03</v>
      </c>
      <c r="I125" s="29">
        <v>-0.02</v>
      </c>
      <c r="J125" s="30">
        <v>-0.01</v>
      </c>
      <c r="K125" s="31">
        <v>-0.01</v>
      </c>
    </row>
    <row r="126" spans="1:11" ht="15" customHeight="1" x14ac:dyDescent="0.25">
      <c r="A126" s="193"/>
      <c r="B126" s="17">
        <v>3854</v>
      </c>
      <c r="C126" s="29">
        <v>7148526.71</v>
      </c>
      <c r="D126" s="30">
        <v>513529.1</v>
      </c>
      <c r="E126" s="28">
        <v>529.05999999999995</v>
      </c>
      <c r="F126" s="29">
        <v>0.22</v>
      </c>
      <c r="G126" s="30">
        <v>0.03</v>
      </c>
      <c r="H126" s="28">
        <v>0.02</v>
      </c>
      <c r="I126" s="29">
        <v>0</v>
      </c>
      <c r="J126" s="30">
        <v>0.01</v>
      </c>
      <c r="K126" s="31">
        <v>0.01</v>
      </c>
    </row>
    <row r="127" spans="1:11" ht="15" customHeight="1" x14ac:dyDescent="0.25">
      <c r="A127" s="193"/>
      <c r="B127" s="17">
        <v>3921</v>
      </c>
      <c r="C127" s="29">
        <v>7148526.7199999997</v>
      </c>
      <c r="D127" s="30">
        <v>513529.11</v>
      </c>
      <c r="E127" s="28">
        <v>529.03</v>
      </c>
      <c r="F127" s="29">
        <v>0.23</v>
      </c>
      <c r="G127" s="30">
        <v>0.01</v>
      </c>
      <c r="H127" s="28">
        <v>0.08</v>
      </c>
      <c r="I127" s="29">
        <v>-0.03</v>
      </c>
      <c r="J127" s="30">
        <v>-0.02</v>
      </c>
      <c r="K127" s="31">
        <v>-0.14000000000000001</v>
      </c>
    </row>
    <row r="128" spans="1:11" ht="15" customHeight="1" x14ac:dyDescent="0.25">
      <c r="A128" s="193"/>
      <c r="B128" s="17">
        <v>4241</v>
      </c>
      <c r="C128" s="29">
        <v>7148526.71</v>
      </c>
      <c r="D128" s="30">
        <v>513529.13</v>
      </c>
      <c r="E128" s="28">
        <v>529.01</v>
      </c>
      <c r="F128" s="29">
        <v>0.24</v>
      </c>
      <c r="G128" s="30">
        <v>0.02</v>
      </c>
      <c r="H128" s="28">
        <v>0.02</v>
      </c>
      <c r="I128" s="29">
        <v>-0.05</v>
      </c>
      <c r="J128" s="30">
        <v>-0.02</v>
      </c>
      <c r="K128" s="31">
        <v>-0.02</v>
      </c>
    </row>
    <row r="129" spans="1:11" ht="15" customHeight="1" x14ac:dyDescent="0.25">
      <c r="A129" s="193"/>
      <c r="B129" s="17">
        <v>4602</v>
      </c>
      <c r="C129" s="29">
        <v>7148526.7300000004</v>
      </c>
      <c r="D129" s="30">
        <v>513529.16</v>
      </c>
      <c r="E129" s="28">
        <v>529</v>
      </c>
      <c r="F129" s="29">
        <v>0.28000000000000003</v>
      </c>
      <c r="G129" s="30">
        <v>0.04</v>
      </c>
      <c r="H129" s="28">
        <v>0.04</v>
      </c>
      <c r="I129" s="29">
        <v>-0.06</v>
      </c>
      <c r="J129" s="30">
        <v>-0.02</v>
      </c>
      <c r="K129" s="31">
        <v>-0.02</v>
      </c>
    </row>
    <row r="130" spans="1:11" ht="15" customHeight="1" x14ac:dyDescent="0.25">
      <c r="A130" s="193"/>
      <c r="B130" s="17">
        <v>41895</v>
      </c>
      <c r="C130" s="29">
        <v>7148526.801</v>
      </c>
      <c r="D130" s="30">
        <v>513529.18699999998</v>
      </c>
      <c r="E130" s="103">
        <v>529</v>
      </c>
      <c r="F130" s="59">
        <f>F129+G130</f>
        <v>0.35596051562126008</v>
      </c>
      <c r="G130" s="30">
        <v>7.5960515621260022E-2</v>
      </c>
      <c r="H130" s="28">
        <f>3.61010263043749/100</f>
        <v>3.6101026304374902E-2</v>
      </c>
      <c r="I130" s="29"/>
      <c r="J130" s="30"/>
      <c r="K130" s="31"/>
    </row>
    <row r="131" spans="1:11" ht="15" customHeight="1" x14ac:dyDescent="0.25">
      <c r="A131" s="194"/>
      <c r="B131" s="22">
        <v>42264</v>
      </c>
      <c r="C131" s="42">
        <v>7148526.7929999996</v>
      </c>
      <c r="D131" s="41">
        <v>513529.18599999999</v>
      </c>
      <c r="E131" s="104">
        <v>528.976</v>
      </c>
      <c r="F131" s="61">
        <f>F130+G131</f>
        <v>0.36402277374527553</v>
      </c>
      <c r="G131" s="41">
        <v>8.0622581240154725E-3</v>
      </c>
      <c r="H131" s="40">
        <f>0.797486237199362/100</f>
        <v>7.9748623719936192E-3</v>
      </c>
      <c r="I131" s="42"/>
      <c r="J131" s="41"/>
      <c r="K131" s="43"/>
    </row>
    <row r="132" spans="1:1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1:1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1:1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spans="1:1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  <row r="1001" spans="1:1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</row>
    <row r="1002" spans="1:1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</row>
    <row r="1003" spans="1:1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</row>
    <row r="1004" spans="1:1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</row>
    <row r="1005" spans="1:1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</row>
    <row r="1006" spans="1:1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</row>
    <row r="1007" spans="1:1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</row>
    <row r="1008" spans="1:1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</row>
    <row r="1009" spans="1:1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</row>
    <row r="1010" spans="1:1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</row>
    <row r="1011" spans="1:1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</row>
    <row r="1012" spans="1:1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</row>
    <row r="1013" spans="1:1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</row>
    <row r="1014" spans="1:1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</row>
    <row r="1015" spans="1:1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</row>
    <row r="1016" spans="1:1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</row>
    <row r="1017" spans="1:1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</row>
    <row r="1018" spans="1:1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</row>
    <row r="1019" spans="1:1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</row>
    <row r="1020" spans="1:1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</row>
    <row r="1021" spans="1:1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</row>
    <row r="1022" spans="1:1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</row>
    <row r="1023" spans="1:1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</row>
    <row r="1024" spans="1:1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</row>
    <row r="1025" spans="1:1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</row>
    <row r="1026" spans="1:1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</row>
    <row r="1027" spans="1:1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</row>
    <row r="1028" spans="1:1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</row>
    <row r="1029" spans="1:1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</row>
    <row r="1030" spans="1:1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</row>
    <row r="1031" spans="1:1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</row>
    <row r="1032" spans="1:1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</row>
    <row r="1033" spans="1:1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</row>
    <row r="1034" spans="1:1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</row>
    <row r="1035" spans="1:1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</row>
    <row r="1036" spans="1:1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</row>
    <row r="1037" spans="1:1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</row>
    <row r="1038" spans="1:1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</row>
    <row r="1039" spans="1:1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</row>
    <row r="1040" spans="1:1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</row>
    <row r="1041" spans="1:1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</row>
    <row r="1042" spans="1:1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</row>
    <row r="1043" spans="1:1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</row>
    <row r="1044" spans="1:1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</row>
    <row r="1045" spans="1:1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</row>
    <row r="1046" spans="1:1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</row>
    <row r="1047" spans="1:1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</row>
    <row r="1048" spans="1:1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</row>
    <row r="1049" spans="1:1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</row>
    <row r="1050" spans="1:1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</row>
    <row r="1051" spans="1:1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</row>
    <row r="1052" spans="1:1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</row>
    <row r="1053" spans="1:1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</row>
    <row r="1054" spans="1:1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</row>
    <row r="1055" spans="1:1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</row>
    <row r="1056" spans="1:1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</row>
    <row r="1057" spans="1:1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</row>
    <row r="1058" spans="1:1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</row>
    <row r="1059" spans="1:1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</row>
    <row r="1060" spans="1:1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</row>
    <row r="1061" spans="1:1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</row>
    <row r="1062" spans="1:1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</row>
    <row r="1063" spans="1:1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</row>
    <row r="1064" spans="1:1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</row>
    <row r="1065" spans="1:1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</row>
    <row r="1066" spans="1:1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</row>
    <row r="1067" spans="1:1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</row>
    <row r="1068" spans="1:1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</row>
    <row r="1069" spans="1:1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</row>
    <row r="1070" spans="1:1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</row>
    <row r="1071" spans="1:1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</row>
    <row r="1072" spans="1:1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</row>
    <row r="1073" spans="1:1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</row>
    <row r="1074" spans="1:1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</row>
    <row r="1075" spans="1:1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</row>
    <row r="1076" spans="1:11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</row>
    <row r="1077" spans="1:11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</row>
    <row r="1078" spans="1:11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</row>
    <row r="1079" spans="1:11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</row>
    <row r="1080" spans="1:11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</row>
    <row r="1081" spans="1:11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</row>
    <row r="1082" spans="1:11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</row>
    <row r="1083" spans="1:11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</row>
    <row r="1084" spans="1:11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</row>
    <row r="1085" spans="1:11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</row>
    <row r="1086" spans="1:11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</row>
    <row r="1087" spans="1:11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</row>
    <row r="1088" spans="1:11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</row>
    <row r="1089" spans="1:11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</row>
    <row r="1090" spans="1:11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</row>
    <row r="1091" spans="1:11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</row>
    <row r="1092" spans="1:11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</row>
    <row r="1093" spans="1:11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</row>
    <row r="1094" spans="1:11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</row>
    <row r="1095" spans="1:11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</row>
    <row r="1096" spans="1:11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</row>
    <row r="1097" spans="1:11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</row>
    <row r="1098" spans="1:11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</row>
    <row r="1099" spans="1:11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</row>
    <row r="1100" spans="1:11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</row>
    <row r="1101" spans="1:11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</row>
    <row r="1102" spans="1:11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</row>
    <row r="1103" spans="1:11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</row>
    <row r="1104" spans="1:11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</row>
    <row r="1105" spans="1:11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</row>
    <row r="1106" spans="1:11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</row>
    <row r="1107" spans="1:11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</row>
    <row r="1108" spans="1:11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</row>
    <row r="1109" spans="1:11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</row>
    <row r="1110" spans="1:11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</row>
  </sheetData>
  <mergeCells count="13">
    <mergeCell ref="A120:A131"/>
    <mergeCell ref="A4:A15"/>
    <mergeCell ref="A16:A40"/>
    <mergeCell ref="A41:A61"/>
    <mergeCell ref="A62:A86"/>
    <mergeCell ref="A87:A107"/>
    <mergeCell ref="A108:A119"/>
    <mergeCell ref="A1:K1"/>
    <mergeCell ref="F2:H2"/>
    <mergeCell ref="I2:K2"/>
    <mergeCell ref="C2:E2"/>
    <mergeCell ref="B2:B3"/>
    <mergeCell ref="A2:A3"/>
  </mergeCells>
  <pageMargins left="1.25" right="1.25" top="1" bottom="0.74583333333333302" header="0.25" footer="0.25"/>
  <pageSetup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4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2" sqref="E11:E12"/>
    </sheetView>
  </sheetViews>
  <sheetFormatPr defaultRowHeight="15" x14ac:dyDescent="0.25"/>
  <cols>
    <col min="1" max="11" width="14.85546875" style="2" customWidth="1"/>
    <col min="12" max="16384" width="9.140625" style="2"/>
  </cols>
  <sheetData>
    <row r="1" spans="1:11" x14ac:dyDescent="0.25">
      <c r="A1" s="186" t="s">
        <v>75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</row>
    <row r="2" spans="1:11" s="23" customFormat="1" ht="15" customHeight="1" x14ac:dyDescent="0.25">
      <c r="A2" s="191" t="s">
        <v>4</v>
      </c>
      <c r="B2" s="185" t="s">
        <v>6</v>
      </c>
      <c r="C2" s="189" t="s">
        <v>5</v>
      </c>
      <c r="D2" s="189"/>
      <c r="E2" s="189"/>
      <c r="F2" s="189" t="s">
        <v>0</v>
      </c>
      <c r="G2" s="189"/>
      <c r="H2" s="189"/>
      <c r="I2" s="189" t="s">
        <v>1</v>
      </c>
      <c r="J2" s="189"/>
      <c r="K2" s="189"/>
    </row>
    <row r="3" spans="1:11" s="23" customFormat="1" ht="30" customHeight="1" x14ac:dyDescent="0.25">
      <c r="A3" s="210"/>
      <c r="B3" s="185"/>
      <c r="C3" s="6" t="s">
        <v>29</v>
      </c>
      <c r="D3" s="171" t="s">
        <v>27</v>
      </c>
      <c r="E3" s="6" t="s">
        <v>26</v>
      </c>
      <c r="F3" s="6" t="s">
        <v>7</v>
      </c>
      <c r="G3" s="6" t="s">
        <v>3</v>
      </c>
      <c r="H3" s="6" t="s">
        <v>2</v>
      </c>
      <c r="I3" s="6" t="s">
        <v>7</v>
      </c>
      <c r="J3" s="6" t="s">
        <v>3</v>
      </c>
      <c r="K3" s="6" t="s">
        <v>2</v>
      </c>
    </row>
    <row r="4" spans="1:11" s="23" customFormat="1" ht="15" customHeight="1" x14ac:dyDescent="0.25">
      <c r="A4" s="204" t="s">
        <v>8</v>
      </c>
      <c r="B4" s="13" t="s">
        <v>18</v>
      </c>
      <c r="C4" s="73"/>
      <c r="D4" s="65"/>
      <c r="E4" s="66"/>
      <c r="F4" s="73"/>
      <c r="G4" s="65"/>
      <c r="H4" s="66">
        <v>0.18288000000000001</v>
      </c>
      <c r="I4" s="73"/>
      <c r="J4" s="65"/>
      <c r="K4" s="66">
        <v>-0.21335999999999999</v>
      </c>
    </row>
    <row r="5" spans="1:11" s="23" customFormat="1" ht="15" customHeight="1" x14ac:dyDescent="0.25">
      <c r="A5" s="205"/>
      <c r="B5" s="14" t="s">
        <v>19</v>
      </c>
      <c r="C5" s="74"/>
      <c r="D5" s="63"/>
      <c r="E5" s="67"/>
      <c r="F5" s="74"/>
      <c r="G5" s="63"/>
      <c r="H5" s="67">
        <v>0.18288000000000001</v>
      </c>
      <c r="I5" s="74"/>
      <c r="J5" s="63"/>
      <c r="K5" s="67">
        <v>-0.18287999999999999</v>
      </c>
    </row>
    <row r="6" spans="1:11" s="23" customFormat="1" ht="15" customHeight="1" x14ac:dyDescent="0.25">
      <c r="A6" s="205"/>
      <c r="B6" s="14">
        <v>29799</v>
      </c>
      <c r="C6" s="74"/>
      <c r="D6" s="63"/>
      <c r="E6" s="67"/>
      <c r="F6" s="74"/>
      <c r="G6" s="63"/>
      <c r="H6" s="67"/>
      <c r="I6" s="74"/>
      <c r="J6" s="63"/>
      <c r="K6" s="67"/>
    </row>
    <row r="7" spans="1:11" s="23" customFormat="1" ht="15" customHeight="1" x14ac:dyDescent="0.25">
      <c r="A7" s="205"/>
      <c r="B7" s="14">
        <v>30103</v>
      </c>
      <c r="C7" s="74"/>
      <c r="D7" s="63"/>
      <c r="E7" s="67"/>
      <c r="F7" s="74"/>
      <c r="G7" s="63"/>
      <c r="H7" s="67">
        <v>0.27432000000000001</v>
      </c>
      <c r="I7" s="74"/>
      <c r="J7" s="63"/>
      <c r="K7" s="67">
        <v>-0.26212800000000003</v>
      </c>
    </row>
    <row r="8" spans="1:11" s="23" customFormat="1" ht="15" customHeight="1" x14ac:dyDescent="0.25">
      <c r="A8" s="205"/>
      <c r="B8" s="14">
        <v>30468</v>
      </c>
      <c r="C8" s="74">
        <f>114020.34*0.3048</f>
        <v>34753.399632000001</v>
      </c>
      <c r="D8" s="63">
        <f>108854.21*0.3048</f>
        <v>33178.763208000004</v>
      </c>
      <c r="E8" s="67">
        <v>508.15341600000005</v>
      </c>
      <c r="F8" s="74"/>
      <c r="G8" s="63"/>
      <c r="H8" s="67">
        <v>0.59740800000000005</v>
      </c>
      <c r="I8" s="74"/>
      <c r="J8" s="63"/>
      <c r="K8" s="67">
        <v>-0.18592800000000001</v>
      </c>
    </row>
    <row r="9" spans="1:11" s="23" customFormat="1" ht="15" customHeight="1" x14ac:dyDescent="0.25">
      <c r="A9" s="205"/>
      <c r="B9" s="14">
        <v>30560</v>
      </c>
      <c r="C9" s="74">
        <f>114020.3*0.3048</f>
        <v>34753.387440000006</v>
      </c>
      <c r="D9" s="63">
        <f>108854.54*0.3048</f>
        <v>33178.863791999996</v>
      </c>
      <c r="E9" s="67">
        <v>508.13207999999997</v>
      </c>
      <c r="F9" s="74"/>
      <c r="G9" s="63"/>
      <c r="H9" s="67">
        <v>0.347472</v>
      </c>
      <c r="I9" s="74"/>
      <c r="J9" s="63"/>
      <c r="K9" s="67">
        <v>-7.3151999999999995E-2</v>
      </c>
    </row>
    <row r="10" spans="1:11" s="23" customFormat="1" ht="15" customHeight="1" x14ac:dyDescent="0.25">
      <c r="A10" s="205"/>
      <c r="B10" s="14">
        <v>30834</v>
      </c>
      <c r="C10" s="74"/>
      <c r="D10" s="63"/>
      <c r="E10" s="67"/>
      <c r="F10" s="74"/>
      <c r="G10" s="63"/>
      <c r="H10" s="67">
        <v>0.32004000000000005</v>
      </c>
      <c r="I10" s="74"/>
      <c r="J10" s="63"/>
      <c r="K10" s="67">
        <v>-0.16459200000000002</v>
      </c>
    </row>
    <row r="11" spans="1:11" s="23" customFormat="1" ht="15" customHeight="1" x14ac:dyDescent="0.25">
      <c r="A11" s="205"/>
      <c r="B11" s="14">
        <v>31199</v>
      </c>
      <c r="C11" s="74"/>
      <c r="D11" s="63"/>
      <c r="E11" s="67"/>
      <c r="F11" s="74"/>
      <c r="G11" s="63"/>
      <c r="H11" s="67">
        <v>0.10972800000000001</v>
      </c>
      <c r="I11" s="74"/>
      <c r="J11" s="63"/>
      <c r="K11" s="67">
        <v>-0.11887200000000001</v>
      </c>
    </row>
    <row r="12" spans="1:11" s="23" customFormat="1" ht="15" customHeight="1" x14ac:dyDescent="0.25">
      <c r="A12" s="205"/>
      <c r="B12" s="14">
        <v>31594</v>
      </c>
      <c r="C12" s="74">
        <f>114020.46*0.3048</f>
        <v>34753.436208000006</v>
      </c>
      <c r="D12" s="63">
        <f>108856.88*0.3048</f>
        <v>33179.577024000006</v>
      </c>
      <c r="E12" s="67">
        <v>507.62001600000002</v>
      </c>
      <c r="F12" s="74"/>
      <c r="G12" s="63"/>
      <c r="H12" s="67">
        <v>0.384048</v>
      </c>
      <c r="I12" s="74"/>
      <c r="J12" s="63"/>
      <c r="K12" s="67">
        <v>-0.27432000000000001</v>
      </c>
    </row>
    <row r="13" spans="1:11" s="23" customFormat="1" ht="15" customHeight="1" x14ac:dyDescent="0.25">
      <c r="A13" s="205"/>
      <c r="B13" s="14">
        <v>37854</v>
      </c>
      <c r="C13" s="74">
        <v>7148201.5599999996</v>
      </c>
      <c r="D13" s="63">
        <v>513688.82</v>
      </c>
      <c r="E13" s="67">
        <v>501.73</v>
      </c>
      <c r="F13" s="74"/>
      <c r="G13" s="64"/>
      <c r="H13" s="67">
        <v>0.75</v>
      </c>
      <c r="I13" s="74"/>
      <c r="J13" s="64"/>
      <c r="K13" s="67">
        <v>-0.28000000000000003</v>
      </c>
    </row>
    <row r="14" spans="1:11" s="23" customFormat="1" ht="15" customHeight="1" x14ac:dyDescent="0.25">
      <c r="A14" s="205"/>
      <c r="B14" s="14">
        <v>38196</v>
      </c>
      <c r="C14" s="74">
        <v>7148201.6900000004</v>
      </c>
      <c r="D14" s="63">
        <v>513689.4</v>
      </c>
      <c r="E14" s="67">
        <v>501.49</v>
      </c>
      <c r="F14" s="74">
        <v>0.59</v>
      </c>
      <c r="G14" s="129">
        <v>0.59</v>
      </c>
      <c r="H14" s="67">
        <v>0.63</v>
      </c>
      <c r="I14" s="74">
        <v>-0.24</v>
      </c>
      <c r="J14" s="63">
        <v>-0.24</v>
      </c>
      <c r="K14" s="67">
        <v>-0.26</v>
      </c>
    </row>
    <row r="15" spans="1:11" s="23" customFormat="1" ht="15" customHeight="1" x14ac:dyDescent="0.25">
      <c r="A15" s="205"/>
      <c r="B15" s="14">
        <v>38253</v>
      </c>
      <c r="C15" s="74">
        <v>7148201.7300000004</v>
      </c>
      <c r="D15" s="63">
        <v>513689.47</v>
      </c>
      <c r="E15" s="67">
        <v>501.42</v>
      </c>
      <c r="F15" s="74">
        <v>0.67</v>
      </c>
      <c r="G15" s="63">
        <v>0.09</v>
      </c>
      <c r="H15" s="67">
        <v>0.56000000000000005</v>
      </c>
      <c r="I15" s="74">
        <v>-0.31</v>
      </c>
      <c r="J15" s="63">
        <v>-7.0000000000000007E-2</v>
      </c>
      <c r="K15" s="130">
        <v>-0.47</v>
      </c>
    </row>
    <row r="16" spans="1:11" s="23" customFormat="1" ht="15" customHeight="1" x14ac:dyDescent="0.25">
      <c r="A16" s="205"/>
      <c r="B16" s="14">
        <v>2087</v>
      </c>
      <c r="C16" s="74">
        <v>7148201.8099999996</v>
      </c>
      <c r="D16" s="63">
        <v>513689.99</v>
      </c>
      <c r="E16" s="67">
        <v>501.18</v>
      </c>
      <c r="F16" s="74">
        <v>1.19</v>
      </c>
      <c r="G16" s="63">
        <v>0.52</v>
      </c>
      <c r="H16" s="67">
        <v>0.53</v>
      </c>
      <c r="I16" s="74">
        <v>-0.55000000000000004</v>
      </c>
      <c r="J16" s="63">
        <v>-0.24</v>
      </c>
      <c r="K16" s="67">
        <v>-0.24</v>
      </c>
    </row>
    <row r="17" spans="1:12" s="23" customFormat="1" ht="15" customHeight="1" x14ac:dyDescent="0.25">
      <c r="A17" s="205"/>
      <c r="B17" s="14">
        <v>2401</v>
      </c>
      <c r="C17" s="74">
        <v>7148201.9000000004</v>
      </c>
      <c r="D17" s="63">
        <v>513690.35</v>
      </c>
      <c r="E17" s="67">
        <v>501.14</v>
      </c>
      <c r="F17" s="74">
        <v>1.56</v>
      </c>
      <c r="G17" s="63">
        <v>0.37</v>
      </c>
      <c r="H17" s="67">
        <v>0.43</v>
      </c>
      <c r="I17" s="74">
        <v>-0.59</v>
      </c>
      <c r="J17" s="63">
        <v>-0.04</v>
      </c>
      <c r="K17" s="67">
        <v>-0.05</v>
      </c>
    </row>
    <row r="18" spans="1:12" s="23" customFormat="1" ht="15" customHeight="1" x14ac:dyDescent="0.25">
      <c r="A18" s="205"/>
      <c r="B18" s="14">
        <v>3113</v>
      </c>
      <c r="C18" s="74">
        <v>7148202.0199999996</v>
      </c>
      <c r="D18" s="63">
        <v>513690.93</v>
      </c>
      <c r="E18" s="67">
        <v>500.95</v>
      </c>
      <c r="F18" s="74">
        <v>2.16</v>
      </c>
      <c r="G18" s="63">
        <v>0.6</v>
      </c>
      <c r="H18" s="67">
        <v>0.31</v>
      </c>
      <c r="I18" s="74">
        <v>-0.78</v>
      </c>
      <c r="J18" s="63">
        <v>-0.19</v>
      </c>
      <c r="K18" s="67">
        <v>-0.1</v>
      </c>
    </row>
    <row r="19" spans="1:12" s="23" customFormat="1" ht="15" customHeight="1" x14ac:dyDescent="0.25">
      <c r="A19" s="205"/>
      <c r="B19" s="14">
        <v>3854</v>
      </c>
      <c r="C19" s="74">
        <v>7148202.1100000003</v>
      </c>
      <c r="D19" s="63">
        <v>513691.36</v>
      </c>
      <c r="E19" s="67">
        <v>500.78</v>
      </c>
      <c r="F19" s="74">
        <v>2.59</v>
      </c>
      <c r="G19" s="63">
        <v>0.43</v>
      </c>
      <c r="H19" s="67">
        <v>0.21</v>
      </c>
      <c r="I19" s="74">
        <v>-0.95</v>
      </c>
      <c r="J19" s="63">
        <v>-0.17</v>
      </c>
      <c r="K19" s="67">
        <v>-0.08</v>
      </c>
    </row>
    <row r="20" spans="1:12" s="23" customFormat="1" ht="15" customHeight="1" x14ac:dyDescent="0.25">
      <c r="A20" s="205"/>
      <c r="B20" s="14">
        <v>3921</v>
      </c>
      <c r="C20" s="74">
        <v>7148202.1399999997</v>
      </c>
      <c r="D20" s="63">
        <v>513691.44</v>
      </c>
      <c r="E20" s="67">
        <v>500.75</v>
      </c>
      <c r="F20" s="74">
        <v>2.68</v>
      </c>
      <c r="G20" s="63">
        <v>0.09</v>
      </c>
      <c r="H20" s="67">
        <v>0.48</v>
      </c>
      <c r="I20" s="74">
        <v>-0.98</v>
      </c>
      <c r="J20" s="63">
        <v>-0.04</v>
      </c>
      <c r="K20" s="67">
        <v>-0.21</v>
      </c>
    </row>
    <row r="21" spans="1:12" s="23" customFormat="1" ht="15" customHeight="1" x14ac:dyDescent="0.25">
      <c r="A21" s="205"/>
      <c r="B21" s="14">
        <v>40766</v>
      </c>
      <c r="C21" s="74">
        <v>7148202.1799999997</v>
      </c>
      <c r="D21" s="63">
        <v>513691.65</v>
      </c>
      <c r="E21" s="67">
        <v>500.66</v>
      </c>
      <c r="F21" s="74">
        <v>2.89</v>
      </c>
      <c r="G21" s="63">
        <v>0.21</v>
      </c>
      <c r="H21" s="67">
        <v>0.24</v>
      </c>
      <c r="I21" s="74">
        <v>-1.08</v>
      </c>
      <c r="J21" s="63">
        <v>-0.09</v>
      </c>
      <c r="K21" s="67">
        <v>-0.1</v>
      </c>
    </row>
    <row r="22" spans="1:12" s="23" customFormat="1" ht="15" customHeight="1" x14ac:dyDescent="0.25">
      <c r="A22" s="205"/>
      <c r="B22" s="58">
        <v>41127</v>
      </c>
      <c r="C22" s="128">
        <v>7148202.2400000002</v>
      </c>
      <c r="D22" s="129">
        <v>513691.89</v>
      </c>
      <c r="E22" s="130">
        <v>500.56</v>
      </c>
      <c r="F22" s="175">
        <f>F21+G22</f>
        <v>3.137386337654517</v>
      </c>
      <c r="G22" s="173">
        <f>SQRT(((C22-C21)^2)+((D22-D21)^2))</f>
        <v>0.24738633765451667</v>
      </c>
      <c r="H22" s="174">
        <f>G22/((B22-B21)/365)</f>
        <v>0.25012746050941437</v>
      </c>
      <c r="I22" s="175">
        <f>I21+J22</f>
        <v>-1.1800000000000228</v>
      </c>
      <c r="J22" s="173">
        <f>E22-E21</f>
        <v>-0.10000000000002274</v>
      </c>
      <c r="K22" s="174">
        <f>J22/((B22-B21)/365)</f>
        <v>-0.10110803324102022</v>
      </c>
      <c r="L22" s="172"/>
    </row>
    <row r="23" spans="1:12" s="23" customFormat="1" ht="15" customHeight="1" x14ac:dyDescent="0.25">
      <c r="A23" s="206"/>
      <c r="B23" s="15">
        <v>41883</v>
      </c>
      <c r="C23" s="75">
        <v>7148202.335</v>
      </c>
      <c r="D23" s="68">
        <v>513692.28</v>
      </c>
      <c r="E23" s="69">
        <v>500.39100000000002</v>
      </c>
      <c r="F23" s="176">
        <f>F22+G23</f>
        <v>3.5387901243348998</v>
      </c>
      <c r="G23" s="177">
        <f>SQRT(((C23-C22)^2)+((D23-D22)^2))</f>
        <v>0.40140378668038262</v>
      </c>
      <c r="H23" s="178">
        <f>G23/((B23-B22)/365)</f>
        <v>0.19379944727293605</v>
      </c>
      <c r="I23" s="176">
        <f>I22+J23</f>
        <v>-1.3490000000000055</v>
      </c>
      <c r="J23" s="177">
        <f>E23-E22</f>
        <v>-0.16899999999998272</v>
      </c>
      <c r="K23" s="178">
        <f>J23/((B23-B22)/365)</f>
        <v>-8.1593915343907003E-2</v>
      </c>
    </row>
    <row r="24" spans="1:12" s="23" customFormat="1" ht="15" customHeight="1" x14ac:dyDescent="0.25">
      <c r="A24" s="204" t="s">
        <v>9</v>
      </c>
      <c r="B24" s="13">
        <v>29799</v>
      </c>
      <c r="C24" s="73"/>
      <c r="D24" s="65"/>
      <c r="E24" s="66"/>
      <c r="F24" s="73"/>
      <c r="G24" s="65"/>
      <c r="H24" s="66"/>
      <c r="I24" s="73"/>
      <c r="J24" s="65"/>
      <c r="K24" s="66"/>
    </row>
    <row r="25" spans="1:12" s="23" customFormat="1" ht="15" customHeight="1" x14ac:dyDescent="0.25">
      <c r="A25" s="205"/>
      <c r="B25" s="14">
        <v>30103</v>
      </c>
      <c r="C25" s="74"/>
      <c r="D25" s="63"/>
      <c r="E25" s="67"/>
      <c r="F25" s="74"/>
      <c r="G25" s="63"/>
      <c r="H25" s="67"/>
      <c r="I25" s="74"/>
      <c r="J25" s="63"/>
      <c r="K25" s="67"/>
    </row>
    <row r="26" spans="1:12" s="23" customFormat="1" ht="15" customHeight="1" x14ac:dyDescent="0.25">
      <c r="A26" s="205"/>
      <c r="B26" s="14">
        <v>30468</v>
      </c>
      <c r="C26" s="74">
        <f>114169.29*0.3048</f>
        <v>34798.799592000003</v>
      </c>
      <c r="D26" s="63">
        <f>108933.99*0.3048</f>
        <v>33203.080152000002</v>
      </c>
      <c r="E26" s="67">
        <f>AVERAGE('Mid Slope'!H22)</f>
        <v>0.25012746050941437</v>
      </c>
      <c r="F26" s="74"/>
      <c r="G26" s="63"/>
      <c r="H26" s="67">
        <v>9.9486720000000002</v>
      </c>
      <c r="I26" s="74"/>
      <c r="J26" s="63"/>
      <c r="K26" s="67">
        <v>-9.8084640000000007</v>
      </c>
    </row>
    <row r="27" spans="1:12" s="23" customFormat="1" ht="15" customHeight="1" x14ac:dyDescent="0.25">
      <c r="A27" s="205"/>
      <c r="B27" s="14">
        <v>30560</v>
      </c>
      <c r="C27" s="74">
        <f>114170.06*0.3048</f>
        <v>34799.034288000003</v>
      </c>
      <c r="D27" s="63">
        <f>108937.52*0.3048</f>
        <v>33204.156096000006</v>
      </c>
      <c r="E27" s="67">
        <v>492.48060000000004</v>
      </c>
      <c r="F27" s="74"/>
      <c r="G27" s="63"/>
      <c r="H27" s="67">
        <v>3.7886640000000003</v>
      </c>
      <c r="I27" s="74"/>
      <c r="J27" s="63"/>
      <c r="K27" s="67">
        <v>-3.7063680000000003</v>
      </c>
    </row>
    <row r="28" spans="1:12" s="23" customFormat="1" ht="15" customHeight="1" x14ac:dyDescent="0.25">
      <c r="A28" s="205"/>
      <c r="B28" s="14">
        <v>30834</v>
      </c>
      <c r="C28" s="74"/>
      <c r="D28" s="63"/>
      <c r="E28" s="67"/>
      <c r="F28" s="74"/>
      <c r="G28" s="63"/>
      <c r="H28" s="67">
        <v>2.54508</v>
      </c>
      <c r="I28" s="74"/>
      <c r="J28" s="63"/>
      <c r="K28" s="67">
        <v>-2.8620720000000004</v>
      </c>
    </row>
    <row r="29" spans="1:12" s="23" customFormat="1" ht="15" customHeight="1" x14ac:dyDescent="0.25">
      <c r="A29" s="205"/>
      <c r="B29" s="14">
        <v>31199</v>
      </c>
      <c r="C29" s="74"/>
      <c r="D29" s="63"/>
      <c r="E29" s="67"/>
      <c r="F29" s="74"/>
      <c r="G29" s="63"/>
      <c r="H29" s="67">
        <v>1.7800320000000001</v>
      </c>
      <c r="I29" s="74"/>
      <c r="J29" s="63"/>
      <c r="K29" s="67">
        <v>-1.905</v>
      </c>
    </row>
    <row r="30" spans="1:12" s="23" customFormat="1" ht="15" customHeight="1" x14ac:dyDescent="0.25">
      <c r="A30" s="205"/>
      <c r="B30" s="14">
        <v>31594</v>
      </c>
      <c r="C30" s="74">
        <f>114175.11*0.3048</f>
        <v>34800.573528000001</v>
      </c>
      <c r="D30" s="63">
        <f>108953.25*0.3048</f>
        <v>33208.950600000004</v>
      </c>
      <c r="E30" s="67">
        <v>487.14964800000001</v>
      </c>
      <c r="F30" s="74"/>
      <c r="G30" s="63"/>
      <c r="H30" s="67">
        <v>2.4841200000000003</v>
      </c>
      <c r="I30" s="74"/>
      <c r="J30" s="63"/>
      <c r="K30" s="67">
        <v>-1.347216</v>
      </c>
    </row>
    <row r="31" spans="1:12" s="23" customFormat="1" ht="15" customHeight="1" x14ac:dyDescent="0.25">
      <c r="A31" s="205"/>
      <c r="B31" s="14">
        <v>1329</v>
      </c>
      <c r="C31" s="74">
        <v>7148249.3200000003</v>
      </c>
      <c r="D31" s="63">
        <v>513718.34</v>
      </c>
      <c r="E31" s="67">
        <v>481.19</v>
      </c>
      <c r="F31" s="74"/>
      <c r="G31" s="64"/>
      <c r="H31" s="67">
        <v>0.91</v>
      </c>
      <c r="I31" s="74"/>
      <c r="J31" s="64"/>
      <c r="K31" s="67">
        <v>-0.3</v>
      </c>
    </row>
    <row r="32" spans="1:12" s="23" customFormat="1" ht="15" customHeight="1" x14ac:dyDescent="0.25">
      <c r="A32" s="205"/>
      <c r="B32" s="14">
        <v>1671</v>
      </c>
      <c r="C32" s="74">
        <v>7148249.4100000001</v>
      </c>
      <c r="D32" s="63">
        <v>513718.73</v>
      </c>
      <c r="E32" s="67">
        <v>481.1</v>
      </c>
      <c r="F32" s="74">
        <v>0.4</v>
      </c>
      <c r="G32" s="63">
        <v>0.4</v>
      </c>
      <c r="H32" s="67">
        <v>0.43</v>
      </c>
      <c r="I32" s="74">
        <v>-0.09</v>
      </c>
      <c r="J32" s="63">
        <v>-0.09</v>
      </c>
      <c r="K32" s="67">
        <v>-0.1</v>
      </c>
    </row>
    <row r="33" spans="1:12" s="23" customFormat="1" ht="15" customHeight="1" x14ac:dyDescent="0.25">
      <c r="A33" s="205"/>
      <c r="B33" s="14">
        <v>1728</v>
      </c>
      <c r="C33" s="74">
        <v>7148249.4199999999</v>
      </c>
      <c r="D33" s="63">
        <v>513718.77</v>
      </c>
      <c r="E33" s="67">
        <v>481.07</v>
      </c>
      <c r="F33" s="74">
        <v>0.44</v>
      </c>
      <c r="G33" s="63">
        <v>0.04</v>
      </c>
      <c r="H33" s="67">
        <v>0.28000000000000003</v>
      </c>
      <c r="I33" s="74">
        <v>-0.12</v>
      </c>
      <c r="J33" s="63">
        <v>-0.02</v>
      </c>
      <c r="K33" s="67">
        <v>-0.16</v>
      </c>
    </row>
    <row r="34" spans="1:12" s="23" customFormat="1" ht="15" customHeight="1" x14ac:dyDescent="0.25">
      <c r="A34" s="205"/>
      <c r="B34" s="14">
        <v>2087</v>
      </c>
      <c r="C34" s="74" t="s">
        <v>37</v>
      </c>
      <c r="D34" s="63">
        <v>513719.16</v>
      </c>
      <c r="E34" s="67">
        <v>480.92</v>
      </c>
      <c r="F34" s="74">
        <v>0.84</v>
      </c>
      <c r="G34" s="63">
        <v>0.39</v>
      </c>
      <c r="H34" s="67">
        <v>0.4</v>
      </c>
      <c r="I34" s="74">
        <v>-0.27</v>
      </c>
      <c r="J34" s="63">
        <v>-0.16</v>
      </c>
      <c r="K34" s="67">
        <v>-0.16</v>
      </c>
      <c r="L34" s="172"/>
    </row>
    <row r="35" spans="1:12" s="23" customFormat="1" ht="15" customHeight="1" x14ac:dyDescent="0.25">
      <c r="A35" s="205"/>
      <c r="B35" s="14">
        <v>2401</v>
      </c>
      <c r="C35" s="74">
        <v>7148249.5499999998</v>
      </c>
      <c r="D35" s="63">
        <v>513719.41</v>
      </c>
      <c r="E35" s="67">
        <v>480.96</v>
      </c>
      <c r="F35" s="74">
        <v>1.0900000000000001</v>
      </c>
      <c r="G35" s="63">
        <v>0.26</v>
      </c>
      <c r="H35" s="67">
        <v>0.3</v>
      </c>
      <c r="I35" s="74">
        <v>-0.23</v>
      </c>
      <c r="J35" s="63">
        <v>0.04</v>
      </c>
      <c r="K35" s="67">
        <v>0.05</v>
      </c>
    </row>
    <row r="36" spans="1:12" s="23" customFormat="1" ht="15" customHeight="1" x14ac:dyDescent="0.25">
      <c r="A36" s="205"/>
      <c r="B36" s="14">
        <v>3113</v>
      </c>
      <c r="C36" s="74">
        <v>7148249.6299999999</v>
      </c>
      <c r="D36" s="63">
        <v>513719.85</v>
      </c>
      <c r="E36" s="67">
        <v>480.86</v>
      </c>
      <c r="F36" s="74">
        <v>1.54</v>
      </c>
      <c r="G36" s="63">
        <v>0.45</v>
      </c>
      <c r="H36" s="67">
        <v>0.23</v>
      </c>
      <c r="I36" s="74">
        <v>-0.33</v>
      </c>
      <c r="J36" s="63">
        <v>-0.1</v>
      </c>
      <c r="K36" s="67">
        <v>-0.05</v>
      </c>
    </row>
    <row r="37" spans="1:12" s="23" customFormat="1" ht="15" customHeight="1" x14ac:dyDescent="0.25">
      <c r="A37" s="205"/>
      <c r="B37" s="14">
        <v>3854</v>
      </c>
      <c r="C37" s="74">
        <v>7148249.6799999997</v>
      </c>
      <c r="D37" s="63">
        <v>513720.15</v>
      </c>
      <c r="E37" s="67">
        <v>480.77</v>
      </c>
      <c r="F37" s="74">
        <v>1.85</v>
      </c>
      <c r="G37" s="63">
        <v>0.31</v>
      </c>
      <c r="H37" s="67">
        <v>0.15</v>
      </c>
      <c r="I37" s="74">
        <v>-0.42</v>
      </c>
      <c r="J37" s="63">
        <v>-0.08</v>
      </c>
      <c r="K37" s="67">
        <v>0</v>
      </c>
    </row>
    <row r="38" spans="1:12" s="23" customFormat="1" ht="15" customHeight="1" x14ac:dyDescent="0.25">
      <c r="A38" s="205"/>
      <c r="B38" s="14">
        <v>3921</v>
      </c>
      <c r="C38" s="74">
        <v>7148249.6699999999</v>
      </c>
      <c r="D38" s="63">
        <v>513720.21</v>
      </c>
      <c r="E38" s="67">
        <v>480.72</v>
      </c>
      <c r="F38" s="74">
        <v>1.91</v>
      </c>
      <c r="G38" s="63">
        <v>0.06</v>
      </c>
      <c r="H38" s="67">
        <v>0.33</v>
      </c>
      <c r="I38" s="74">
        <v>-0.47</v>
      </c>
      <c r="J38" s="63">
        <v>-0.05</v>
      </c>
      <c r="K38" s="67">
        <v>-0.28999999999999998</v>
      </c>
    </row>
    <row r="39" spans="1:12" s="23" customFormat="1" ht="15" customHeight="1" x14ac:dyDescent="0.25">
      <c r="A39" s="205"/>
      <c r="B39" s="14">
        <v>40766</v>
      </c>
      <c r="C39" s="74">
        <v>7148249.71</v>
      </c>
      <c r="D39" s="63">
        <v>513720.37</v>
      </c>
      <c r="E39" s="67">
        <v>480.69</v>
      </c>
      <c r="F39" s="74">
        <v>2.0699999999999998</v>
      </c>
      <c r="G39" s="63">
        <v>0.16</v>
      </c>
      <c r="H39" s="67">
        <v>0.18</v>
      </c>
      <c r="I39" s="74">
        <v>-0.5</v>
      </c>
      <c r="J39" s="63">
        <v>-0.03</v>
      </c>
      <c r="K39" s="67">
        <v>0</v>
      </c>
    </row>
    <row r="40" spans="1:12" s="23" customFormat="1" ht="15" customHeight="1" x14ac:dyDescent="0.25">
      <c r="A40" s="205"/>
      <c r="B40" s="58">
        <v>41127</v>
      </c>
      <c r="C40" s="128">
        <v>7148249.75</v>
      </c>
      <c r="D40" s="129">
        <v>513720.53</v>
      </c>
      <c r="E40" s="130">
        <v>480.62</v>
      </c>
      <c r="F40" s="175">
        <f>F39+G40</f>
        <v>2.2349242250653645</v>
      </c>
      <c r="G40" s="173">
        <f>SQRT(((C40-C39)^2)+((D40-D39)^2))</f>
        <v>0.16492422506536464</v>
      </c>
      <c r="H40" s="174">
        <f>G40/((B40-B39)/365)</f>
        <v>0.16675164030154596</v>
      </c>
      <c r="I40" s="175">
        <f>I39+J40</f>
        <v>-0.56999999999999318</v>
      </c>
      <c r="J40" s="173">
        <f>E40-E39</f>
        <v>-6.9999999999993179E-2</v>
      </c>
      <c r="K40" s="174">
        <f>J40/((B40-B39)/365)</f>
        <v>-7.0775623268691162E-2</v>
      </c>
    </row>
    <row r="41" spans="1:12" s="23" customFormat="1" ht="15" customHeight="1" x14ac:dyDescent="0.25">
      <c r="A41" s="206"/>
      <c r="B41" s="15">
        <v>41883</v>
      </c>
      <c r="C41" s="75">
        <v>7148249.7810000004</v>
      </c>
      <c r="D41" s="68">
        <v>513720.80200000003</v>
      </c>
      <c r="E41" s="69">
        <v>480.553</v>
      </c>
      <c r="F41" s="175">
        <f>F40+G41</f>
        <v>2.5086850696447351</v>
      </c>
      <c r="G41" s="173">
        <f>SQRT(((C41-C40)^2)+((D41-D40)^2))</f>
        <v>0.27376084457937083</v>
      </c>
      <c r="H41" s="174">
        <f>G41/((B41-B40)/365)</f>
        <v>0.13217289453898196</v>
      </c>
      <c r="I41" s="175">
        <f>I40+J41</f>
        <v>-0.63700000000000045</v>
      </c>
      <c r="J41" s="173">
        <f>E41-E40</f>
        <v>-6.7000000000007276E-2</v>
      </c>
      <c r="K41" s="174">
        <f>J41/((B41-B40)/365)</f>
        <v>-3.2347883597887109E-2</v>
      </c>
    </row>
    <row r="42" spans="1:12" s="23" customFormat="1" ht="15" customHeight="1" x14ac:dyDescent="0.25">
      <c r="A42" s="207">
        <v>1085</v>
      </c>
      <c r="B42" s="13">
        <v>1329</v>
      </c>
      <c r="C42" s="73">
        <v>7148346.0499999998</v>
      </c>
      <c r="D42" s="65">
        <v>513666.41</v>
      </c>
      <c r="E42" s="66">
        <v>488.88</v>
      </c>
      <c r="F42" s="73"/>
      <c r="G42" s="70"/>
      <c r="H42" s="71"/>
      <c r="I42" s="76"/>
      <c r="J42" s="65"/>
      <c r="K42" s="71"/>
    </row>
    <row r="43" spans="1:12" s="23" customFormat="1" ht="15" customHeight="1" x14ac:dyDescent="0.25">
      <c r="A43" s="208"/>
      <c r="B43" s="14">
        <v>1671</v>
      </c>
      <c r="C43" s="74">
        <v>7148346.0599999996</v>
      </c>
      <c r="D43" s="63">
        <v>513666.43</v>
      </c>
      <c r="E43" s="67">
        <v>488.84</v>
      </c>
      <c r="F43" s="74">
        <v>0.02</v>
      </c>
      <c r="G43" s="63">
        <v>0.02</v>
      </c>
      <c r="H43" s="67">
        <v>0.02</v>
      </c>
      <c r="I43" s="74">
        <v>-0.04</v>
      </c>
      <c r="J43" s="63">
        <v>-0.04</v>
      </c>
      <c r="K43" s="67">
        <v>-0.04</v>
      </c>
    </row>
    <row r="44" spans="1:12" s="23" customFormat="1" ht="15" customHeight="1" x14ac:dyDescent="0.25">
      <c r="A44" s="208"/>
      <c r="B44" s="14">
        <v>1728</v>
      </c>
      <c r="C44" s="74">
        <v>7148346.0599999996</v>
      </c>
      <c r="D44" s="63">
        <v>513666.41</v>
      </c>
      <c r="E44" s="67">
        <v>488.82</v>
      </c>
      <c r="F44" s="74">
        <v>0.01</v>
      </c>
      <c r="G44" s="63">
        <v>0.14000000000000001</v>
      </c>
      <c r="H44" s="67">
        <v>0.14000000000000001</v>
      </c>
      <c r="I44" s="74">
        <v>-0.06</v>
      </c>
      <c r="J44" s="63">
        <v>-0.01</v>
      </c>
      <c r="K44" s="67">
        <v>-0.09</v>
      </c>
    </row>
    <row r="45" spans="1:12" s="23" customFormat="1" ht="15" customHeight="1" x14ac:dyDescent="0.25">
      <c r="A45" s="208"/>
      <c r="B45" s="14">
        <v>2087</v>
      </c>
      <c r="C45" s="74">
        <v>7148346.0599999996</v>
      </c>
      <c r="D45" s="63">
        <v>513666.46</v>
      </c>
      <c r="E45" s="67">
        <v>488.72</v>
      </c>
      <c r="F45" s="74">
        <v>0.05</v>
      </c>
      <c r="G45" s="63">
        <v>0.05</v>
      </c>
      <c r="H45" s="67">
        <v>0.05</v>
      </c>
      <c r="I45" s="74">
        <v>-0.16</v>
      </c>
      <c r="J45" s="63">
        <v>-0.1</v>
      </c>
      <c r="K45" s="67">
        <v>-0.1</v>
      </c>
    </row>
    <row r="46" spans="1:12" s="23" customFormat="1" ht="15" customHeight="1" x14ac:dyDescent="0.25">
      <c r="A46" s="208"/>
      <c r="B46" s="14">
        <v>2401</v>
      </c>
      <c r="C46" s="74">
        <v>7148346.0800000001</v>
      </c>
      <c r="D46" s="63">
        <v>513666.47</v>
      </c>
      <c r="E46" s="67">
        <v>488.82</v>
      </c>
      <c r="F46" s="74">
        <v>0.06</v>
      </c>
      <c r="G46" s="63">
        <v>0.02</v>
      </c>
      <c r="H46" s="67">
        <v>0.02</v>
      </c>
      <c r="I46" s="74">
        <v>-0.06</v>
      </c>
      <c r="J46" s="63">
        <v>0.09</v>
      </c>
      <c r="K46" s="67">
        <v>0.11</v>
      </c>
    </row>
    <row r="47" spans="1:12" s="23" customFormat="1" ht="15" customHeight="1" x14ac:dyDescent="0.25">
      <c r="A47" s="208"/>
      <c r="B47" s="14">
        <v>3113</v>
      </c>
      <c r="C47" s="74">
        <v>7148346.0499999998</v>
      </c>
      <c r="D47" s="63">
        <v>513666.51</v>
      </c>
      <c r="E47" s="67">
        <v>488.82</v>
      </c>
      <c r="F47" s="74">
        <v>0.1</v>
      </c>
      <c r="G47" s="63">
        <v>0.05</v>
      </c>
      <c r="H47" s="67">
        <v>0.03</v>
      </c>
      <c r="I47" s="74">
        <v>-0.06</v>
      </c>
      <c r="J47" s="63">
        <v>0</v>
      </c>
      <c r="K47" s="67">
        <v>0</v>
      </c>
    </row>
    <row r="48" spans="1:12" s="23" customFormat="1" ht="15" customHeight="1" x14ac:dyDescent="0.25">
      <c r="A48" s="208"/>
      <c r="B48" s="14">
        <v>3854</v>
      </c>
      <c r="C48" s="74">
        <v>7148346.0499999998</v>
      </c>
      <c r="D48" s="63">
        <v>513666.52</v>
      </c>
      <c r="E48" s="67">
        <v>488.78</v>
      </c>
      <c r="F48" s="74">
        <v>0.1</v>
      </c>
      <c r="G48" s="63">
        <v>0.01</v>
      </c>
      <c r="H48" s="67">
        <v>0</v>
      </c>
      <c r="I48" s="74">
        <v>-0.1</v>
      </c>
      <c r="J48" s="63">
        <v>-0.04</v>
      </c>
      <c r="K48" s="67">
        <v>-0.02</v>
      </c>
    </row>
    <row r="49" spans="1:11" s="23" customFormat="1" ht="15" customHeight="1" x14ac:dyDescent="0.25">
      <c r="A49" s="208"/>
      <c r="B49" s="14">
        <v>3921</v>
      </c>
      <c r="C49" s="74">
        <v>7148346.0499999998</v>
      </c>
      <c r="D49" s="63">
        <v>513666.54</v>
      </c>
      <c r="E49" s="67">
        <v>488.75</v>
      </c>
      <c r="F49" s="74">
        <v>0.13</v>
      </c>
      <c r="G49" s="63">
        <v>0.02</v>
      </c>
      <c r="H49" s="67">
        <v>0.13</v>
      </c>
      <c r="I49" s="74">
        <v>-0.13</v>
      </c>
      <c r="J49" s="63">
        <v>-0.03</v>
      </c>
      <c r="K49" s="67">
        <v>-0.15</v>
      </c>
    </row>
    <row r="50" spans="1:11" s="23" customFormat="1" ht="15" customHeight="1" x14ac:dyDescent="0.25">
      <c r="A50" s="208"/>
      <c r="B50" s="14">
        <v>40766</v>
      </c>
      <c r="C50" s="74">
        <v>7148346.0599999996</v>
      </c>
      <c r="D50" s="63">
        <v>513666.56</v>
      </c>
      <c r="E50" s="67">
        <v>488.72</v>
      </c>
      <c r="F50" s="74">
        <v>0.15</v>
      </c>
      <c r="G50" s="63">
        <v>0.02</v>
      </c>
      <c r="H50" s="67">
        <v>0.03</v>
      </c>
      <c r="I50" s="74">
        <v>-0.16</v>
      </c>
      <c r="J50" s="63">
        <v>-0.03</v>
      </c>
      <c r="K50" s="67">
        <v>-0.04</v>
      </c>
    </row>
    <row r="51" spans="1:11" s="23" customFormat="1" ht="15" customHeight="1" x14ac:dyDescent="0.25">
      <c r="A51" s="208"/>
      <c r="B51" s="58">
        <v>41127</v>
      </c>
      <c r="C51" s="128">
        <v>7148346.0499999998</v>
      </c>
      <c r="D51" s="129">
        <v>513666.58</v>
      </c>
      <c r="E51" s="130">
        <v>488.69</v>
      </c>
      <c r="F51" s="175">
        <f>F50+G51</f>
        <v>0.17236067969169788</v>
      </c>
      <c r="G51" s="173">
        <f>SQRT(((C51-C50)^2)+((D51-D50)^2))</f>
        <v>2.2360679691697874E-2</v>
      </c>
      <c r="H51" s="174">
        <f>G51/((B51-B50)/365)</f>
        <v>2.2608443455594804E-2</v>
      </c>
      <c r="I51" s="175">
        <f>I50+J51</f>
        <v>-0.19000000000002956</v>
      </c>
      <c r="J51" s="173">
        <f>E51-E50</f>
        <v>-3.0000000000029559E-2</v>
      </c>
      <c r="K51" s="174">
        <f>J51/((B51-B50)/365)</f>
        <v>-3.0332409972329055E-2</v>
      </c>
    </row>
    <row r="52" spans="1:11" s="23" customFormat="1" ht="15" customHeight="1" x14ac:dyDescent="0.25">
      <c r="A52" s="209"/>
      <c r="B52" s="15">
        <v>41883</v>
      </c>
      <c r="C52" s="75">
        <v>7148346.0609999998</v>
      </c>
      <c r="D52" s="68">
        <v>513666.60600000003</v>
      </c>
      <c r="E52" s="69">
        <v>488.642</v>
      </c>
      <c r="F52" s="175">
        <f>F51+G52</f>
        <v>0.20059186810703894</v>
      </c>
      <c r="G52" s="173">
        <f>SQRT(((C52-C51)^2)+((D52-D51)^2))</f>
        <v>2.8231188415341044E-2</v>
      </c>
      <c r="H52" s="174">
        <f>G52/((B52-B51)/365)</f>
        <v>1.3630137264020478E-2</v>
      </c>
      <c r="I52" s="175">
        <f>I51+J52</f>
        <v>-0.23800000000003138</v>
      </c>
      <c r="J52" s="173">
        <f>E52-E51</f>
        <v>-4.8000000000001819E-2</v>
      </c>
      <c r="K52" s="174">
        <f>J52/((B52-B51)/365)</f>
        <v>-2.3174603174604052E-2</v>
      </c>
    </row>
    <row r="53" spans="1:11" s="23" customFormat="1" ht="15" customHeight="1" x14ac:dyDescent="0.25">
      <c r="A53" s="204" t="s">
        <v>11</v>
      </c>
      <c r="B53" s="13" t="s">
        <v>14</v>
      </c>
      <c r="C53" s="73"/>
      <c r="D53" s="65"/>
      <c r="E53" s="66"/>
      <c r="F53" s="73"/>
      <c r="G53" s="65"/>
      <c r="H53" s="66">
        <v>9.6316800000000011</v>
      </c>
      <c r="I53" s="73"/>
      <c r="J53" s="65"/>
      <c r="K53" s="66"/>
    </row>
    <row r="54" spans="1:11" s="23" customFormat="1" ht="15" customHeight="1" x14ac:dyDescent="0.25">
      <c r="A54" s="205"/>
      <c r="B54" s="14" t="s">
        <v>15</v>
      </c>
      <c r="C54" s="74"/>
      <c r="D54" s="63"/>
      <c r="E54" s="67"/>
      <c r="F54" s="74"/>
      <c r="G54" s="63"/>
      <c r="H54" s="67">
        <v>3.7185600000000001</v>
      </c>
      <c r="I54" s="74"/>
      <c r="J54" s="63"/>
      <c r="K54" s="67"/>
    </row>
    <row r="55" spans="1:11" s="23" customFormat="1" ht="15" customHeight="1" x14ac:dyDescent="0.25">
      <c r="A55" s="205"/>
      <c r="B55" s="14" t="s">
        <v>16</v>
      </c>
      <c r="C55" s="74"/>
      <c r="D55" s="63"/>
      <c r="E55" s="67"/>
      <c r="F55" s="74"/>
      <c r="G55" s="63"/>
      <c r="H55" s="67">
        <v>4.7244000000000002</v>
      </c>
      <c r="I55" s="74"/>
      <c r="J55" s="63"/>
      <c r="K55" s="67"/>
    </row>
    <row r="56" spans="1:11" s="23" customFormat="1" ht="15" customHeight="1" x14ac:dyDescent="0.25">
      <c r="A56" s="205"/>
      <c r="B56" s="14" t="s">
        <v>17</v>
      </c>
      <c r="C56" s="74"/>
      <c r="D56" s="63"/>
      <c r="E56" s="67"/>
      <c r="F56" s="74"/>
      <c r="G56" s="63"/>
      <c r="H56" s="67">
        <v>4.4196</v>
      </c>
      <c r="I56" s="74"/>
      <c r="J56" s="63"/>
      <c r="K56" s="67"/>
    </row>
    <row r="57" spans="1:11" s="23" customFormat="1" ht="15" customHeight="1" x14ac:dyDescent="0.25">
      <c r="A57" s="205"/>
      <c r="B57" s="14" t="s">
        <v>18</v>
      </c>
      <c r="C57" s="74"/>
      <c r="D57" s="63"/>
      <c r="E57" s="67"/>
      <c r="F57" s="74"/>
      <c r="G57" s="63"/>
      <c r="H57" s="67">
        <v>8.0162399999999998</v>
      </c>
      <c r="I57" s="74"/>
      <c r="J57" s="63"/>
      <c r="K57" s="67">
        <v>-5.42544</v>
      </c>
    </row>
    <row r="58" spans="1:11" s="23" customFormat="1" ht="15" customHeight="1" x14ac:dyDescent="0.25">
      <c r="A58" s="205"/>
      <c r="B58" s="14" t="s">
        <v>19</v>
      </c>
      <c r="C58" s="74"/>
      <c r="D58" s="63"/>
      <c r="E58" s="67"/>
      <c r="F58" s="74"/>
      <c r="G58" s="63"/>
      <c r="H58" s="67">
        <v>8.8087199999999992</v>
      </c>
      <c r="I58" s="74"/>
      <c r="J58" s="63"/>
      <c r="K58" s="67">
        <v>-5.4863999999999997</v>
      </c>
    </row>
    <row r="59" spans="1:11" s="23" customFormat="1" ht="15" customHeight="1" x14ac:dyDescent="0.25">
      <c r="A59" s="205"/>
      <c r="B59" s="14">
        <v>29799</v>
      </c>
      <c r="C59" s="74"/>
      <c r="D59" s="63"/>
      <c r="E59" s="67"/>
      <c r="F59" s="74"/>
      <c r="G59" s="63"/>
      <c r="H59" s="67">
        <v>14.965680000000001</v>
      </c>
      <c r="I59" s="74"/>
      <c r="J59" s="63"/>
      <c r="K59" s="67">
        <v>-6.010656</v>
      </c>
    </row>
    <row r="60" spans="1:11" s="23" customFormat="1" ht="15" customHeight="1" x14ac:dyDescent="0.25">
      <c r="A60" s="205"/>
      <c r="B60" s="14">
        <v>30103</v>
      </c>
      <c r="C60" s="74"/>
      <c r="D60" s="63"/>
      <c r="E60" s="67"/>
      <c r="F60" s="74"/>
      <c r="G60" s="63"/>
      <c r="H60" s="67">
        <v>16.06296</v>
      </c>
      <c r="I60" s="74"/>
      <c r="J60" s="63"/>
      <c r="K60" s="67">
        <v>-8.0863440000000004</v>
      </c>
    </row>
    <row r="61" spans="1:11" s="23" customFormat="1" ht="15" customHeight="1" x14ac:dyDescent="0.25">
      <c r="A61" s="205"/>
      <c r="B61" s="14">
        <v>30468</v>
      </c>
      <c r="C61" s="74">
        <f>114716.82*0.3048</f>
        <v>34965.686736000003</v>
      </c>
      <c r="D61" s="63">
        <f>108840.71*0.3048</f>
        <v>33174.648408000001</v>
      </c>
      <c r="E61" s="117">
        <v>498.49735200000003</v>
      </c>
      <c r="F61" s="74"/>
      <c r="G61" s="63"/>
      <c r="H61" s="67">
        <v>15.319248</v>
      </c>
      <c r="I61" s="74"/>
      <c r="J61" s="63"/>
      <c r="K61" s="67">
        <v>-5.1236879999999996</v>
      </c>
    </row>
    <row r="62" spans="1:11" s="23" customFormat="1" ht="15" customHeight="1" x14ac:dyDescent="0.25">
      <c r="A62" s="205"/>
      <c r="B62" s="14">
        <v>30560</v>
      </c>
      <c r="C62" s="74">
        <f>114714.91*0.3048</f>
        <v>34965.104568000002</v>
      </c>
      <c r="D62" s="63">
        <f>108849.98*0.3048</f>
        <v>33177.473903999999</v>
      </c>
      <c r="E62" s="67">
        <v>497.57990400000006</v>
      </c>
      <c r="F62" s="74"/>
      <c r="G62" s="63"/>
      <c r="H62" s="67">
        <v>9.9273360000000004</v>
      </c>
      <c r="I62" s="74"/>
      <c r="J62" s="63"/>
      <c r="K62" s="67">
        <v>-3.1577280000000001</v>
      </c>
    </row>
    <row r="63" spans="1:11" s="23" customFormat="1" ht="15" customHeight="1" x14ac:dyDescent="0.25">
      <c r="A63" s="205"/>
      <c r="B63" s="14">
        <v>30834</v>
      </c>
      <c r="C63" s="74"/>
      <c r="D63" s="63"/>
      <c r="E63" s="67"/>
      <c r="F63" s="74"/>
      <c r="G63" s="63"/>
      <c r="H63" s="67">
        <v>5.6784239999999997</v>
      </c>
      <c r="I63" s="74"/>
      <c r="J63" s="63"/>
      <c r="K63" s="67">
        <v>-1.7343120000000003</v>
      </c>
    </row>
    <row r="64" spans="1:11" s="23" customFormat="1" ht="15" customHeight="1" x14ac:dyDescent="0.25">
      <c r="A64" s="205"/>
      <c r="B64" s="14">
        <v>31199</v>
      </c>
      <c r="C64" s="74"/>
      <c r="D64" s="63"/>
      <c r="E64" s="67"/>
      <c r="F64" s="74"/>
      <c r="G64" s="63"/>
      <c r="H64" s="67">
        <v>4.2976799999999997</v>
      </c>
      <c r="I64" s="74"/>
      <c r="J64" s="63"/>
      <c r="K64" s="67">
        <v>-1.1521440000000001</v>
      </c>
    </row>
    <row r="65" spans="1:11" s="23" customFormat="1" ht="15" customHeight="1" x14ac:dyDescent="0.25">
      <c r="A65" s="205"/>
      <c r="B65" s="14">
        <v>31594</v>
      </c>
      <c r="C65" s="74">
        <f>114708.11*0.3048</f>
        <v>34963.031928000004</v>
      </c>
      <c r="D65" s="63">
        <f>108894.21*0.3048</f>
        <v>33190.955208000007</v>
      </c>
      <c r="E65" s="67">
        <v>493.47729600000002</v>
      </c>
      <c r="F65" s="74"/>
      <c r="G65" s="63"/>
      <c r="H65" s="67">
        <v>5.2212240000000003</v>
      </c>
      <c r="I65" s="74"/>
      <c r="J65" s="63"/>
      <c r="K65" s="67">
        <v>-1.69164</v>
      </c>
    </row>
    <row r="66" spans="1:11" s="23" customFormat="1" ht="15" customHeight="1" x14ac:dyDescent="0.25">
      <c r="A66" s="205"/>
      <c r="B66" s="14">
        <v>1329</v>
      </c>
      <c r="C66" s="74">
        <v>7148408.7300000004</v>
      </c>
      <c r="D66" s="63">
        <v>513701.26</v>
      </c>
      <c r="E66" s="67">
        <v>483.95</v>
      </c>
      <c r="F66" s="74"/>
      <c r="G66" s="64"/>
      <c r="H66" s="67">
        <v>1.31</v>
      </c>
      <c r="I66" s="74"/>
      <c r="J66" s="64"/>
      <c r="K66" s="67">
        <v>-0.6</v>
      </c>
    </row>
    <row r="67" spans="1:11" s="23" customFormat="1" ht="15" customHeight="1" x14ac:dyDescent="0.25">
      <c r="A67" s="205"/>
      <c r="B67" s="14">
        <v>1671</v>
      </c>
      <c r="C67" s="74">
        <v>7148498.75</v>
      </c>
      <c r="D67" s="63">
        <v>513701.33</v>
      </c>
      <c r="E67" s="67">
        <v>483.92</v>
      </c>
      <c r="F67" s="74">
        <v>0.06</v>
      </c>
      <c r="G67" s="63">
        <v>0.06</v>
      </c>
      <c r="H67" s="67">
        <v>7.0000000000000007E-2</v>
      </c>
      <c r="I67" s="74">
        <v>-0.03</v>
      </c>
      <c r="J67" s="63">
        <v>-0.03</v>
      </c>
      <c r="K67" s="67">
        <v>-0.03</v>
      </c>
    </row>
    <row r="68" spans="1:11" s="23" customFormat="1" ht="15" customHeight="1" x14ac:dyDescent="0.25">
      <c r="A68" s="205"/>
      <c r="B68" s="14">
        <v>1728</v>
      </c>
      <c r="C68" s="74">
        <v>7148408.75</v>
      </c>
      <c r="D68" s="63">
        <v>513701.31</v>
      </c>
      <c r="E68" s="67">
        <v>483.91</v>
      </c>
      <c r="F68" s="74">
        <v>0.05</v>
      </c>
      <c r="G68" s="63">
        <v>0.02</v>
      </c>
      <c r="H68" s="67">
        <v>0.13</v>
      </c>
      <c r="I68" s="74">
        <v>-0.04</v>
      </c>
      <c r="J68" s="63">
        <v>-0.01</v>
      </c>
      <c r="K68" s="67">
        <v>-7.0000000000000007E-2</v>
      </c>
    </row>
    <row r="69" spans="1:11" s="23" customFormat="1" ht="15" customHeight="1" x14ac:dyDescent="0.25">
      <c r="A69" s="205"/>
      <c r="B69" s="14">
        <v>2087</v>
      </c>
      <c r="C69" s="74">
        <v>7148408.75</v>
      </c>
      <c r="D69" s="63">
        <v>513701.34</v>
      </c>
      <c r="E69" s="67">
        <v>483.87</v>
      </c>
      <c r="F69" s="74">
        <v>0.08</v>
      </c>
      <c r="G69" s="63">
        <v>0.04</v>
      </c>
      <c r="H69" s="67">
        <v>0.04</v>
      </c>
      <c r="I69" s="74">
        <v>-0.08</v>
      </c>
      <c r="J69" s="63">
        <v>-0.03</v>
      </c>
      <c r="K69" s="67">
        <v>-0.03</v>
      </c>
    </row>
    <row r="70" spans="1:11" s="23" customFormat="1" ht="15" customHeight="1" x14ac:dyDescent="0.25">
      <c r="A70" s="205"/>
      <c r="B70" s="14">
        <v>2401</v>
      </c>
      <c r="C70" s="74">
        <v>7148408.7699999996</v>
      </c>
      <c r="D70" s="63">
        <v>513701.35</v>
      </c>
      <c r="E70" s="67">
        <v>483.89</v>
      </c>
      <c r="F70" s="74">
        <v>0.09</v>
      </c>
      <c r="G70" s="63">
        <v>0.02</v>
      </c>
      <c r="H70" s="67">
        <v>0.03</v>
      </c>
      <c r="I70" s="74">
        <v>-0.06</v>
      </c>
      <c r="J70" s="63">
        <v>0.02</v>
      </c>
      <c r="K70" s="67">
        <v>0.02</v>
      </c>
    </row>
    <row r="71" spans="1:11" s="23" customFormat="1" ht="15" customHeight="1" x14ac:dyDescent="0.25">
      <c r="A71" s="205"/>
      <c r="B71" s="14">
        <v>3113</v>
      </c>
      <c r="C71" s="74">
        <v>7148408.75</v>
      </c>
      <c r="D71" s="63">
        <v>513701.39</v>
      </c>
      <c r="E71" s="67">
        <v>483.87</v>
      </c>
      <c r="F71" s="74">
        <v>0.13</v>
      </c>
      <c r="G71" s="63">
        <v>0.05</v>
      </c>
      <c r="H71" s="67">
        <v>0.02</v>
      </c>
      <c r="I71" s="74">
        <v>-0.08</v>
      </c>
      <c r="J71" s="63">
        <v>-0.02</v>
      </c>
      <c r="K71" s="67">
        <v>-0.01</v>
      </c>
    </row>
    <row r="72" spans="1:11" s="23" customFormat="1" ht="15" customHeight="1" x14ac:dyDescent="0.25">
      <c r="A72" s="205"/>
      <c r="B72" s="14">
        <v>3854</v>
      </c>
      <c r="C72" s="74">
        <v>7148408.75</v>
      </c>
      <c r="D72" s="63">
        <v>513701.4</v>
      </c>
      <c r="E72" s="67">
        <v>483.84</v>
      </c>
      <c r="F72" s="74">
        <v>0.14000000000000001</v>
      </c>
      <c r="G72" s="63">
        <v>0.02</v>
      </c>
      <c r="H72" s="67">
        <v>0.01</v>
      </c>
      <c r="I72" s="74">
        <v>-0.12</v>
      </c>
      <c r="J72" s="63">
        <v>-0.04</v>
      </c>
      <c r="K72" s="67">
        <v>-0.02</v>
      </c>
    </row>
    <row r="73" spans="1:11" s="23" customFormat="1" ht="15" customHeight="1" x14ac:dyDescent="0.25">
      <c r="A73" s="205"/>
      <c r="B73" s="14">
        <v>3921</v>
      </c>
      <c r="C73" s="74">
        <v>7148498.75</v>
      </c>
      <c r="D73" s="63">
        <v>513701.44</v>
      </c>
      <c r="E73" s="67">
        <v>483.8</v>
      </c>
      <c r="F73" s="74">
        <v>0.18</v>
      </c>
      <c r="G73" s="63">
        <v>0.04</v>
      </c>
      <c r="H73" s="67">
        <v>0.21</v>
      </c>
      <c r="I73" s="74">
        <v>-0.15</v>
      </c>
      <c r="J73" s="63">
        <v>-0.03</v>
      </c>
      <c r="K73" s="67">
        <v>-0.19</v>
      </c>
    </row>
    <row r="74" spans="1:11" s="23" customFormat="1" ht="15" customHeight="1" x14ac:dyDescent="0.25">
      <c r="A74" s="205"/>
      <c r="B74" s="14">
        <v>40766</v>
      </c>
      <c r="C74" s="74">
        <v>7148408.7400000002</v>
      </c>
      <c r="D74" s="63">
        <v>513701.46</v>
      </c>
      <c r="E74" s="67">
        <v>483.77</v>
      </c>
      <c r="F74" s="74">
        <v>0.19</v>
      </c>
      <c r="G74" s="63">
        <v>0.01</v>
      </c>
      <c r="H74" s="67">
        <v>0.02</v>
      </c>
      <c r="I74" s="74">
        <v>-0.18</v>
      </c>
      <c r="J74" s="63">
        <v>-0.03</v>
      </c>
      <c r="K74" s="67">
        <v>-0.03</v>
      </c>
    </row>
    <row r="75" spans="1:11" s="23" customFormat="1" ht="15" customHeight="1" x14ac:dyDescent="0.25">
      <c r="A75" s="205"/>
      <c r="B75" s="58">
        <v>41127</v>
      </c>
      <c r="C75" s="128">
        <v>7148408.7599999998</v>
      </c>
      <c r="D75" s="129">
        <v>513701.49</v>
      </c>
      <c r="E75" s="130">
        <v>483.75</v>
      </c>
      <c r="F75" s="175">
        <f>F74+G75</f>
        <v>0.22605551248148509</v>
      </c>
      <c r="G75" s="173">
        <f>SQRT(((C75-C74)^2)+((D75-D74)^2))</f>
        <v>3.60555124814851E-2</v>
      </c>
      <c r="H75" s="174">
        <f>G75/((B75-B74)/365)</f>
        <v>3.6455019544991855E-2</v>
      </c>
      <c r="I75" s="175">
        <f>I74+J75</f>
        <v>-0.1999999999999818</v>
      </c>
      <c r="J75" s="173">
        <f>E75-E74</f>
        <v>-1.999999999998181E-2</v>
      </c>
      <c r="K75" s="174">
        <f>J75/((B75-B74)/365)</f>
        <v>-2.0221606648181054E-2</v>
      </c>
    </row>
    <row r="76" spans="1:11" s="23" customFormat="1" ht="15" customHeight="1" x14ac:dyDescent="0.25">
      <c r="A76" s="206"/>
      <c r="B76" s="15">
        <v>41883</v>
      </c>
      <c r="C76" s="75">
        <v>7148408.7539999997</v>
      </c>
      <c r="D76" s="68">
        <v>513701.53</v>
      </c>
      <c r="E76" s="69">
        <v>483.702</v>
      </c>
      <c r="F76" s="175">
        <f>F75+G76</f>
        <v>0.26650300935837579</v>
      </c>
      <c r="G76" s="173">
        <f>SQRT(((C76-C75)^2)+((D76-D75)^2))</f>
        <v>4.0447496876890678E-2</v>
      </c>
      <c r="H76" s="174">
        <f>G76/((B76-B75)/365)</f>
        <v>1.9528222698498805E-2</v>
      </c>
      <c r="I76" s="175">
        <f>I75+J76</f>
        <v>-0.24799999999998362</v>
      </c>
      <c r="J76" s="173">
        <f>E76-E75</f>
        <v>-4.8000000000001819E-2</v>
      </c>
      <c r="K76" s="174">
        <f>J76/((B76-B75)/365)</f>
        <v>-2.3174603174604052E-2</v>
      </c>
    </row>
    <row r="77" spans="1:11" s="23" customFormat="1" ht="15" customHeight="1" x14ac:dyDescent="0.25">
      <c r="A77" s="201" t="s">
        <v>24</v>
      </c>
      <c r="B77" s="13" t="s">
        <v>14</v>
      </c>
      <c r="C77" s="73"/>
      <c r="D77" s="65"/>
      <c r="E77" s="66"/>
      <c r="F77" s="73"/>
      <c r="G77" s="65"/>
      <c r="H77" s="66">
        <v>6.5836800000000011</v>
      </c>
      <c r="I77" s="73"/>
      <c r="J77" s="65"/>
      <c r="K77" s="66"/>
    </row>
    <row r="78" spans="1:11" s="23" customFormat="1" ht="15" customHeight="1" x14ac:dyDescent="0.25">
      <c r="A78" s="202"/>
      <c r="B78" s="14" t="s">
        <v>15</v>
      </c>
      <c r="C78" s="74"/>
      <c r="D78" s="63"/>
      <c r="E78" s="67"/>
      <c r="F78" s="74"/>
      <c r="G78" s="63"/>
      <c r="H78" s="67">
        <v>3.1699200000000003</v>
      </c>
      <c r="I78" s="74"/>
      <c r="J78" s="63"/>
      <c r="K78" s="67"/>
    </row>
    <row r="79" spans="1:11" s="23" customFormat="1" ht="15" customHeight="1" x14ac:dyDescent="0.25">
      <c r="A79" s="202"/>
      <c r="B79" s="14" t="s">
        <v>16</v>
      </c>
      <c r="C79" s="74"/>
      <c r="D79" s="63"/>
      <c r="E79" s="67"/>
      <c r="F79" s="74"/>
      <c r="G79" s="63"/>
      <c r="H79" s="67">
        <v>4.9987199999999996</v>
      </c>
      <c r="I79" s="74"/>
      <c r="J79" s="63"/>
      <c r="K79" s="67"/>
    </row>
    <row r="80" spans="1:11" s="23" customFormat="1" ht="15" customHeight="1" x14ac:dyDescent="0.25">
      <c r="A80" s="202"/>
      <c r="B80" s="14" t="s">
        <v>17</v>
      </c>
      <c r="C80" s="74"/>
      <c r="D80" s="63"/>
      <c r="E80" s="67"/>
      <c r="F80" s="74"/>
      <c r="G80" s="63"/>
      <c r="H80" s="67">
        <v>4.8768000000000002</v>
      </c>
      <c r="I80" s="74"/>
      <c r="J80" s="63"/>
      <c r="K80" s="67"/>
    </row>
    <row r="81" spans="1:11" s="23" customFormat="1" ht="15" customHeight="1" x14ac:dyDescent="0.25">
      <c r="A81" s="202"/>
      <c r="B81" s="14" t="s">
        <v>18</v>
      </c>
      <c r="C81" s="74"/>
      <c r="D81" s="63"/>
      <c r="E81" s="67"/>
      <c r="F81" s="74"/>
      <c r="G81" s="63"/>
      <c r="H81" s="67">
        <v>8.8391999999999999</v>
      </c>
      <c r="I81" s="74"/>
      <c r="J81" s="63"/>
      <c r="K81" s="67"/>
    </row>
    <row r="82" spans="1:11" s="23" customFormat="1" ht="15" customHeight="1" x14ac:dyDescent="0.25">
      <c r="A82" s="202"/>
      <c r="B82" s="14" t="s">
        <v>19</v>
      </c>
      <c r="C82" s="74"/>
      <c r="D82" s="63"/>
      <c r="E82" s="67"/>
      <c r="F82" s="74"/>
      <c r="G82" s="63"/>
      <c r="H82" s="67"/>
      <c r="I82" s="74"/>
      <c r="J82" s="63"/>
      <c r="K82" s="67"/>
    </row>
    <row r="83" spans="1:11" s="23" customFormat="1" ht="15" customHeight="1" x14ac:dyDescent="0.25">
      <c r="A83" s="202"/>
      <c r="B83" s="14">
        <v>29799</v>
      </c>
      <c r="C83" s="74"/>
      <c r="D83" s="63"/>
      <c r="E83" s="67"/>
      <c r="F83" s="74"/>
      <c r="G83" s="63"/>
      <c r="H83" s="67">
        <v>18.806160000000002</v>
      </c>
      <c r="I83" s="74"/>
      <c r="J83" s="63"/>
      <c r="K83" s="67">
        <v>-6.4282320000000004</v>
      </c>
    </row>
    <row r="84" spans="1:11" s="23" customFormat="1" ht="15" customHeight="1" x14ac:dyDescent="0.25">
      <c r="A84" s="202"/>
      <c r="B84" s="14">
        <v>30103</v>
      </c>
      <c r="C84" s="74"/>
      <c r="D84" s="63"/>
      <c r="E84" s="67"/>
      <c r="F84" s="74"/>
      <c r="G84" s="63"/>
      <c r="H84" s="67">
        <v>22.00656</v>
      </c>
      <c r="I84" s="74"/>
      <c r="J84" s="63"/>
      <c r="K84" s="67">
        <v>-9.183624</v>
      </c>
    </row>
    <row r="85" spans="1:11" s="23" customFormat="1" ht="15" customHeight="1" x14ac:dyDescent="0.25">
      <c r="A85" s="202"/>
      <c r="B85" s="14">
        <v>30468</v>
      </c>
      <c r="C85" s="74">
        <f>114710.66*0.3048</f>
        <v>34963.809168</v>
      </c>
      <c r="D85" s="63">
        <f>109139.8*0.3048</f>
        <v>33265.811040000001</v>
      </c>
      <c r="E85" s="67">
        <v>469.27008000000001</v>
      </c>
      <c r="F85" s="74"/>
      <c r="G85" s="63"/>
      <c r="H85" s="67">
        <v>27.011376000000002</v>
      </c>
      <c r="I85" s="74"/>
      <c r="J85" s="63"/>
      <c r="K85" s="67">
        <v>-13.103352000000001</v>
      </c>
    </row>
    <row r="86" spans="1:11" s="23" customFormat="1" ht="15" customHeight="1" x14ac:dyDescent="0.25">
      <c r="A86" s="202"/>
      <c r="B86" s="14">
        <v>30560</v>
      </c>
      <c r="C86" s="74">
        <f>114709.52*0.3048</f>
        <v>34963.461696000006</v>
      </c>
      <c r="D86" s="63">
        <f>109159.45*0.3048</f>
        <v>33271.800360000001</v>
      </c>
      <c r="E86" s="67">
        <v>466.07882400000005</v>
      </c>
      <c r="F86" s="74"/>
      <c r="G86" s="63"/>
      <c r="H86" s="67">
        <v>20.317968</v>
      </c>
      <c r="I86" s="74"/>
      <c r="J86" s="63"/>
      <c r="K86" s="67">
        <v>-11.052047999999999</v>
      </c>
    </row>
    <row r="87" spans="1:11" s="23" customFormat="1" ht="15" customHeight="1" x14ac:dyDescent="0.25">
      <c r="A87" s="202"/>
      <c r="B87" s="14">
        <v>30834</v>
      </c>
      <c r="C87" s="74"/>
      <c r="D87" s="63"/>
      <c r="E87" s="67"/>
      <c r="F87" s="74"/>
      <c r="G87" s="63"/>
      <c r="H87" s="67"/>
      <c r="I87" s="74"/>
      <c r="J87" s="63"/>
      <c r="K87" s="67"/>
    </row>
    <row r="88" spans="1:11" s="23" customFormat="1" ht="15" customHeight="1" x14ac:dyDescent="0.25">
      <c r="A88" s="202"/>
      <c r="B88" s="14">
        <v>31199</v>
      </c>
      <c r="C88" s="74"/>
      <c r="D88" s="63"/>
      <c r="E88" s="67"/>
      <c r="F88" s="74"/>
      <c r="G88" s="63"/>
      <c r="H88" s="67">
        <v>20.988528000000002</v>
      </c>
      <c r="I88" s="74"/>
      <c r="J88" s="63"/>
      <c r="K88" s="67">
        <v>-9.595104000000001</v>
      </c>
    </row>
    <row r="89" spans="1:11" s="23" customFormat="1" ht="15" customHeight="1" x14ac:dyDescent="0.25">
      <c r="A89" s="202"/>
      <c r="B89" s="14">
        <v>31594</v>
      </c>
      <c r="C89" s="74">
        <f>114692.41*0.3048</f>
        <v>34958.246568000002</v>
      </c>
      <c r="D89" s="63">
        <f>109249.5*0.3048</f>
        <v>33299.247600000002</v>
      </c>
      <c r="E89" s="67">
        <v>452.02754400000003</v>
      </c>
      <c r="F89" s="74"/>
      <c r="G89" s="63"/>
      <c r="H89" s="67">
        <v>6.9799199999999999</v>
      </c>
      <c r="I89" s="74"/>
      <c r="J89" s="63"/>
      <c r="K89" s="67">
        <v>-4.4561760000000001</v>
      </c>
    </row>
    <row r="90" spans="1:11" s="23" customFormat="1" ht="15" customHeight="1" x14ac:dyDescent="0.25">
      <c r="A90" s="202"/>
      <c r="B90" s="14">
        <v>1329</v>
      </c>
      <c r="C90" s="85">
        <v>7148400.2599999998</v>
      </c>
      <c r="D90" s="86">
        <v>513815.95</v>
      </c>
      <c r="E90" s="87">
        <v>439.87</v>
      </c>
      <c r="F90" s="85"/>
      <c r="G90" s="86"/>
      <c r="H90" s="87">
        <v>2</v>
      </c>
      <c r="I90" s="85"/>
      <c r="J90" s="86"/>
      <c r="K90" s="87">
        <v>-0.62</v>
      </c>
    </row>
    <row r="91" spans="1:11" s="23" customFormat="1" ht="15" customHeight="1" x14ac:dyDescent="0.25">
      <c r="A91" s="202"/>
      <c r="B91" s="14">
        <v>1671</v>
      </c>
      <c r="C91" s="85">
        <v>7148400.25</v>
      </c>
      <c r="D91" s="86">
        <v>513816.1</v>
      </c>
      <c r="E91" s="87">
        <v>439.75</v>
      </c>
      <c r="F91" s="85">
        <v>0.15</v>
      </c>
      <c r="G91" s="86">
        <v>0.15</v>
      </c>
      <c r="H91" s="87">
        <v>0.16</v>
      </c>
      <c r="I91" s="85">
        <v>-0.12</v>
      </c>
      <c r="J91" s="86">
        <v>-0.12</v>
      </c>
      <c r="K91" s="87">
        <v>-0.12</v>
      </c>
    </row>
    <row r="92" spans="1:11" s="23" customFormat="1" ht="15" customHeight="1" x14ac:dyDescent="0.25">
      <c r="A92" s="202"/>
      <c r="B92" s="14">
        <v>1728</v>
      </c>
      <c r="C92" s="85">
        <v>7148400.25</v>
      </c>
      <c r="D92" s="86">
        <v>513816.08</v>
      </c>
      <c r="E92" s="87">
        <v>439.72</v>
      </c>
      <c r="F92" s="85">
        <v>0.13</v>
      </c>
      <c r="G92" s="86">
        <v>0.02</v>
      </c>
      <c r="H92" s="87">
        <v>0.12</v>
      </c>
      <c r="I92" s="85">
        <v>-0.15</v>
      </c>
      <c r="J92" s="86">
        <v>-0.04</v>
      </c>
      <c r="K92" s="87">
        <v>-0.24</v>
      </c>
    </row>
    <row r="93" spans="1:11" s="23" customFormat="1" ht="15" customHeight="1" x14ac:dyDescent="0.25">
      <c r="A93" s="202"/>
      <c r="B93" s="14">
        <v>2087</v>
      </c>
      <c r="C93" s="85">
        <v>7148400.2400000002</v>
      </c>
      <c r="D93" s="86">
        <v>513816.21</v>
      </c>
      <c r="E93" s="87">
        <v>439.67</v>
      </c>
      <c r="F93" s="85">
        <v>0.26</v>
      </c>
      <c r="G93" s="86">
        <v>0.13</v>
      </c>
      <c r="H93" s="87">
        <v>0.13</v>
      </c>
      <c r="I93" s="85">
        <v>-0.2</v>
      </c>
      <c r="J93" s="86">
        <v>-0.04</v>
      </c>
      <c r="K93" s="87">
        <v>-0.05</v>
      </c>
    </row>
    <row r="94" spans="1:11" s="23" customFormat="1" ht="15" customHeight="1" x14ac:dyDescent="0.25">
      <c r="A94" s="202"/>
      <c r="B94" s="14">
        <v>2401</v>
      </c>
      <c r="C94" s="85">
        <v>7148400.25</v>
      </c>
      <c r="D94" s="86">
        <v>513816.27</v>
      </c>
      <c r="E94" s="87">
        <v>439.7</v>
      </c>
      <c r="F94" s="85">
        <v>0.32</v>
      </c>
      <c r="G94" s="86">
        <v>0.06</v>
      </c>
      <c r="H94" s="87">
        <v>7.0000000000000007E-2</v>
      </c>
      <c r="I94" s="85">
        <v>-0.17</v>
      </c>
      <c r="J94" s="86">
        <v>0.02</v>
      </c>
      <c r="K94" s="87">
        <v>0.03</v>
      </c>
    </row>
    <row r="95" spans="1:11" s="23" customFormat="1" ht="15" customHeight="1" x14ac:dyDescent="0.25">
      <c r="A95" s="202"/>
      <c r="B95" s="14">
        <v>3113</v>
      </c>
      <c r="C95" s="85">
        <v>7148400.2000000002</v>
      </c>
      <c r="D95" s="86">
        <v>513816.38</v>
      </c>
      <c r="E95" s="87">
        <v>439.64</v>
      </c>
      <c r="F95" s="85">
        <v>0.43</v>
      </c>
      <c r="G95" s="86">
        <v>0.12</v>
      </c>
      <c r="H95" s="87">
        <v>0.06</v>
      </c>
      <c r="I95" s="85">
        <v>-0.23</v>
      </c>
      <c r="J95" s="86">
        <v>-0.06</v>
      </c>
      <c r="K95" s="87">
        <v>-0.03</v>
      </c>
    </row>
    <row r="96" spans="1:11" s="23" customFormat="1" ht="15" customHeight="1" x14ac:dyDescent="0.25">
      <c r="A96" s="202"/>
      <c r="B96" s="14">
        <v>3854</v>
      </c>
      <c r="C96" s="85">
        <v>7148400.1900000004</v>
      </c>
      <c r="D96" s="86">
        <v>513816.43</v>
      </c>
      <c r="E96" s="87">
        <v>439.58</v>
      </c>
      <c r="F96" s="85">
        <v>0.48</v>
      </c>
      <c r="G96" s="86">
        <v>0.06</v>
      </c>
      <c r="H96" s="87">
        <v>0.03</v>
      </c>
      <c r="I96" s="85">
        <v>-0.28999999999999998</v>
      </c>
      <c r="J96" s="86">
        <v>-7.0000000000000007E-2</v>
      </c>
      <c r="K96" s="87">
        <v>-0.03</v>
      </c>
    </row>
    <row r="97" spans="1:11" s="23" customFormat="1" ht="15" customHeight="1" x14ac:dyDescent="0.25">
      <c r="A97" s="202"/>
      <c r="B97" s="14">
        <v>3921</v>
      </c>
      <c r="C97" s="85">
        <v>7148400.1699999999</v>
      </c>
      <c r="D97" s="86">
        <v>513816.46</v>
      </c>
      <c r="E97" s="87">
        <v>439.53</v>
      </c>
      <c r="F97" s="85">
        <v>0.52</v>
      </c>
      <c r="G97" s="86">
        <v>0.04</v>
      </c>
      <c r="H97" s="87">
        <v>0.2</v>
      </c>
      <c r="I97" s="85">
        <v>-0.34</v>
      </c>
      <c r="J97" s="86">
        <v>-0.04</v>
      </c>
      <c r="K97" s="87">
        <v>-0.23</v>
      </c>
    </row>
    <row r="98" spans="1:11" s="23" customFormat="1" ht="15" customHeight="1" x14ac:dyDescent="0.25">
      <c r="A98" s="202"/>
      <c r="B98" s="14">
        <v>40766</v>
      </c>
      <c r="C98" s="85">
        <v>7148400.1799999997</v>
      </c>
      <c r="D98" s="86">
        <v>513816.49</v>
      </c>
      <c r="E98" s="87">
        <v>439.54</v>
      </c>
      <c r="F98" s="85">
        <v>0.54</v>
      </c>
      <c r="G98" s="86">
        <v>0.02</v>
      </c>
      <c r="H98" s="87">
        <v>0.03</v>
      </c>
      <c r="I98" s="85">
        <v>-0.33</v>
      </c>
      <c r="J98" s="86">
        <v>0</v>
      </c>
      <c r="K98" s="87">
        <v>0</v>
      </c>
    </row>
    <row r="99" spans="1:11" s="23" customFormat="1" ht="15" customHeight="1" x14ac:dyDescent="0.25">
      <c r="A99" s="202"/>
      <c r="B99" s="58">
        <v>41127</v>
      </c>
      <c r="C99" s="131">
        <v>7148400.1799999997</v>
      </c>
      <c r="D99" s="132">
        <v>513816.52</v>
      </c>
      <c r="E99" s="133">
        <v>439.47</v>
      </c>
      <c r="F99" s="175">
        <f>F98+G99</f>
        <v>0.57000000002793971</v>
      </c>
      <c r="G99" s="173">
        <f>SQRT(((C99-C98)^2)+((D99-D98)^2))</f>
        <v>3.0000000027939677E-2</v>
      </c>
      <c r="H99" s="174">
        <f>G99/((B99-B98)/365)</f>
        <v>3.0332410000548427E-2</v>
      </c>
      <c r="I99" s="175">
        <f>I98+J99</f>
        <v>-0.39999999999999319</v>
      </c>
      <c r="J99" s="173">
        <f>E99-E98</f>
        <v>-6.9999999999993179E-2</v>
      </c>
      <c r="K99" s="174">
        <f>J99/((B99-B98)/365)</f>
        <v>-7.0775623268691162E-2</v>
      </c>
    </row>
    <row r="100" spans="1:11" s="23" customFormat="1" ht="15" customHeight="1" x14ac:dyDescent="0.25">
      <c r="A100" s="203"/>
      <c r="B100" s="15">
        <v>41883</v>
      </c>
      <c r="C100" s="118">
        <v>7148400.199</v>
      </c>
      <c r="D100" s="119">
        <v>513816.57900000003</v>
      </c>
      <c r="E100" s="120">
        <v>439.43</v>
      </c>
      <c r="F100" s="175">
        <f>F99+G100</f>
        <v>0.63198386900337</v>
      </c>
      <c r="G100" s="173">
        <f>SQRT(((C100-C99)^2)+((D100-D99)^2))</f>
        <v>6.1983868975430317E-2</v>
      </c>
      <c r="H100" s="174">
        <f>G100/((B100-B99)/365)</f>
        <v>2.9926074306920722E-2</v>
      </c>
      <c r="I100" s="175">
        <f>I99+J100</f>
        <v>-0.44000000000001366</v>
      </c>
      <c r="J100" s="173">
        <f>E100-E99</f>
        <v>-4.0000000000020464E-2</v>
      </c>
      <c r="K100" s="174">
        <f>J100/((B100-B99)/365)</f>
        <v>-1.9312169312179193E-2</v>
      </c>
    </row>
    <row r="101" spans="1:11" s="23" customFormat="1" ht="15" customHeight="1" x14ac:dyDescent="0.25">
      <c r="A101" s="204" t="s">
        <v>12</v>
      </c>
      <c r="B101" s="13" t="s">
        <v>14</v>
      </c>
      <c r="C101" s="73"/>
      <c r="D101" s="65"/>
      <c r="E101" s="66"/>
      <c r="F101" s="73"/>
      <c r="G101" s="79"/>
      <c r="H101" s="80">
        <v>5.7607200000000001</v>
      </c>
      <c r="I101" s="81"/>
      <c r="J101" s="65"/>
      <c r="K101" s="66"/>
    </row>
    <row r="102" spans="1:11" s="23" customFormat="1" ht="15" customHeight="1" x14ac:dyDescent="0.25">
      <c r="A102" s="205"/>
      <c r="B102" s="14" t="s">
        <v>15</v>
      </c>
      <c r="C102" s="74"/>
      <c r="D102" s="63"/>
      <c r="E102" s="67"/>
      <c r="F102" s="74"/>
      <c r="G102" s="82"/>
      <c r="H102" s="83">
        <v>3.5052000000000003</v>
      </c>
      <c r="I102" s="84"/>
      <c r="J102" s="63"/>
      <c r="K102" s="67"/>
    </row>
    <row r="103" spans="1:11" s="23" customFormat="1" ht="15" customHeight="1" x14ac:dyDescent="0.25">
      <c r="A103" s="205"/>
      <c r="B103" s="14" t="s">
        <v>16</v>
      </c>
      <c r="C103" s="74"/>
      <c r="D103" s="63"/>
      <c r="E103" s="67"/>
      <c r="F103" s="74"/>
      <c r="G103" s="82"/>
      <c r="H103" s="83">
        <v>4.5110400000000004</v>
      </c>
      <c r="I103" s="84"/>
      <c r="J103" s="63"/>
      <c r="K103" s="67"/>
    </row>
    <row r="104" spans="1:11" s="23" customFormat="1" ht="15" customHeight="1" x14ac:dyDescent="0.25">
      <c r="A104" s="205"/>
      <c r="B104" s="14" t="s">
        <v>17</v>
      </c>
      <c r="C104" s="74"/>
      <c r="D104" s="63"/>
      <c r="E104" s="67"/>
      <c r="F104" s="74"/>
      <c r="G104" s="82"/>
      <c r="H104" s="83">
        <v>4.5720000000000001</v>
      </c>
      <c r="I104" s="84"/>
      <c r="J104" s="82"/>
      <c r="K104" s="83"/>
    </row>
    <row r="105" spans="1:11" s="23" customFormat="1" ht="15" customHeight="1" x14ac:dyDescent="0.25">
      <c r="A105" s="205"/>
      <c r="B105" s="14" t="s">
        <v>18</v>
      </c>
      <c r="C105" s="74"/>
      <c r="D105" s="63"/>
      <c r="E105" s="67"/>
      <c r="F105" s="74"/>
      <c r="G105" s="63"/>
      <c r="H105" s="67">
        <v>7.7724000000000002</v>
      </c>
      <c r="I105" s="74"/>
      <c r="J105" s="82"/>
      <c r="K105" s="83">
        <v>-3.90144</v>
      </c>
    </row>
    <row r="106" spans="1:11" s="23" customFormat="1" ht="15" customHeight="1" x14ac:dyDescent="0.25">
      <c r="A106" s="205"/>
      <c r="B106" s="14" t="s">
        <v>19</v>
      </c>
      <c r="C106" s="74"/>
      <c r="D106" s="63"/>
      <c r="E106" s="67"/>
      <c r="F106" s="74"/>
      <c r="G106" s="63"/>
      <c r="H106" s="67">
        <v>9.3268800000000009</v>
      </c>
      <c r="I106" s="74"/>
      <c r="J106" s="82"/>
      <c r="K106" s="83">
        <v>-3.5051999999999999</v>
      </c>
    </row>
    <row r="107" spans="1:11" s="23" customFormat="1" ht="15" customHeight="1" x14ac:dyDescent="0.25">
      <c r="A107" s="205"/>
      <c r="B107" s="14">
        <v>29799</v>
      </c>
      <c r="C107" s="74"/>
      <c r="D107" s="63"/>
      <c r="E107" s="67"/>
      <c r="F107" s="74"/>
      <c r="G107" s="63"/>
      <c r="H107" s="67">
        <v>14.87424</v>
      </c>
      <c r="I107" s="74"/>
      <c r="J107" s="82"/>
      <c r="K107" s="83">
        <v>-4.5079919999999998</v>
      </c>
    </row>
    <row r="108" spans="1:11" s="23" customFormat="1" ht="15" customHeight="1" x14ac:dyDescent="0.25">
      <c r="A108" s="205"/>
      <c r="B108" s="14">
        <v>30103</v>
      </c>
      <c r="C108" s="85"/>
      <c r="D108" s="86"/>
      <c r="E108" s="87"/>
      <c r="F108" s="85"/>
      <c r="G108" s="86"/>
      <c r="H108" s="87"/>
      <c r="I108" s="85"/>
      <c r="J108" s="86"/>
      <c r="K108" s="87"/>
    </row>
    <row r="109" spans="1:11" s="23" customFormat="1" ht="15" customHeight="1" x14ac:dyDescent="0.25">
      <c r="A109" s="205"/>
      <c r="B109" s="14">
        <v>30468</v>
      </c>
      <c r="C109" s="85">
        <f>114363.84*0.3048</f>
        <v>34858.098431999999</v>
      </c>
      <c r="D109" s="86">
        <f>109039.74*0.3048</f>
        <v>33235.312752000005</v>
      </c>
      <c r="E109" s="87">
        <v>482.50144800000004</v>
      </c>
      <c r="F109" s="85"/>
      <c r="G109" s="86"/>
      <c r="H109" s="87">
        <v>16.760952000000003</v>
      </c>
      <c r="I109" s="85"/>
      <c r="J109" s="86"/>
      <c r="K109" s="87">
        <v>-12.097512</v>
      </c>
    </row>
    <row r="110" spans="1:11" s="23" customFormat="1" ht="15" customHeight="1" x14ac:dyDescent="0.25">
      <c r="A110" s="205"/>
      <c r="B110" s="14">
        <v>30560</v>
      </c>
      <c r="C110" s="85">
        <f>114361.22*0.3048</f>
        <v>34857.299856000005</v>
      </c>
      <c r="D110" s="86">
        <f>109062.67*0.3048</f>
        <v>33242.301815999999</v>
      </c>
      <c r="E110" s="87">
        <v>480.42576000000003</v>
      </c>
      <c r="F110" s="85"/>
      <c r="G110" s="86"/>
      <c r="H110" s="87">
        <v>24.222456000000001</v>
      </c>
      <c r="I110" s="85"/>
      <c r="J110" s="86"/>
      <c r="K110" s="87">
        <v>-7.1475600000000004</v>
      </c>
    </row>
    <row r="111" spans="1:11" s="23" customFormat="1" ht="15" customHeight="1" x14ac:dyDescent="0.25">
      <c r="A111" s="205"/>
      <c r="B111" s="14">
        <v>30834</v>
      </c>
      <c r="C111" s="85"/>
      <c r="D111" s="86"/>
      <c r="E111" s="87"/>
      <c r="F111" s="85"/>
      <c r="G111" s="86"/>
      <c r="H111" s="87">
        <v>27.883104000000003</v>
      </c>
      <c r="I111" s="85"/>
      <c r="J111" s="86"/>
      <c r="K111" s="87">
        <v>-10.378439999999999</v>
      </c>
    </row>
    <row r="112" spans="1:11" s="23" customFormat="1" ht="15" customHeight="1" x14ac:dyDescent="0.25">
      <c r="A112" s="205"/>
      <c r="B112" s="14">
        <v>31199</v>
      </c>
      <c r="C112" s="85"/>
      <c r="D112" s="86"/>
      <c r="E112" s="87"/>
      <c r="F112" s="85"/>
      <c r="G112" s="86"/>
      <c r="H112" s="87">
        <v>19.894296000000001</v>
      </c>
      <c r="I112" s="85"/>
      <c r="J112" s="86"/>
      <c r="K112" s="87">
        <v>-7.534656</v>
      </c>
    </row>
    <row r="113" spans="1:11" s="23" customFormat="1" ht="15" customHeight="1" x14ac:dyDescent="0.25">
      <c r="A113" s="205"/>
      <c r="B113" s="14">
        <v>31594</v>
      </c>
      <c r="C113" s="85">
        <f>114348.5*0.3048</f>
        <v>34853.4228</v>
      </c>
      <c r="D113" s="86">
        <f>109225.64*0.3048</f>
        <v>33291.975072000001</v>
      </c>
      <c r="E113" s="87">
        <v>473.04655200000002</v>
      </c>
      <c r="F113" s="85"/>
      <c r="G113" s="86"/>
      <c r="H113" s="87">
        <v>16.733520000000002</v>
      </c>
      <c r="I113" s="85"/>
      <c r="J113" s="86"/>
      <c r="K113" s="87">
        <v>5.6113680000000006</v>
      </c>
    </row>
    <row r="114" spans="1:11" s="23" customFormat="1" ht="15" customHeight="1" x14ac:dyDescent="0.25">
      <c r="A114" s="205"/>
      <c r="B114" s="14">
        <v>1329</v>
      </c>
      <c r="C114" s="74">
        <v>7148298.5899999999</v>
      </c>
      <c r="D114" s="63">
        <v>513822.46</v>
      </c>
      <c r="E114" s="67">
        <v>448.09</v>
      </c>
      <c r="F114" s="74"/>
      <c r="G114" s="64"/>
      <c r="H114" s="67">
        <v>3.75</v>
      </c>
      <c r="I114" s="74"/>
      <c r="J114" s="64"/>
      <c r="K114" s="67">
        <v>-1.33</v>
      </c>
    </row>
    <row r="115" spans="1:11" s="23" customFormat="1" ht="15" customHeight="1" x14ac:dyDescent="0.25">
      <c r="A115" s="205"/>
      <c r="B115" s="14">
        <v>1671</v>
      </c>
      <c r="C115" s="74">
        <v>7148298.6100000003</v>
      </c>
      <c r="D115" s="63">
        <v>513822.64</v>
      </c>
      <c r="E115" s="67">
        <v>448.01</v>
      </c>
      <c r="F115" s="74">
        <v>0.19</v>
      </c>
      <c r="G115" s="63">
        <v>0.19</v>
      </c>
      <c r="H115" s="67">
        <v>0.2</v>
      </c>
      <c r="I115" s="74">
        <v>-0.08</v>
      </c>
      <c r="J115" s="63">
        <v>-0.08</v>
      </c>
      <c r="K115" s="67">
        <v>-0.09</v>
      </c>
    </row>
    <row r="116" spans="1:11" s="23" customFormat="1" ht="15" customHeight="1" x14ac:dyDescent="0.25">
      <c r="A116" s="205"/>
      <c r="B116" s="14">
        <v>1728</v>
      </c>
      <c r="C116" s="74">
        <v>7148298.6100000003</v>
      </c>
      <c r="D116" s="63">
        <v>513822.64</v>
      </c>
      <c r="E116" s="67">
        <v>448</v>
      </c>
      <c r="F116" s="74">
        <v>0.19</v>
      </c>
      <c r="G116" s="63">
        <v>0</v>
      </c>
      <c r="H116" s="67">
        <v>0.03</v>
      </c>
      <c r="I116" s="74">
        <v>-0.09</v>
      </c>
      <c r="J116" s="63">
        <v>0</v>
      </c>
      <c r="K116" s="67">
        <v>-0.03</v>
      </c>
    </row>
    <row r="117" spans="1:11" s="23" customFormat="1" ht="15" customHeight="1" x14ac:dyDescent="0.25">
      <c r="A117" s="205"/>
      <c r="B117" s="14">
        <v>2087</v>
      </c>
      <c r="C117" s="74">
        <v>7148298.6399999997</v>
      </c>
      <c r="D117" s="63">
        <v>513822.81</v>
      </c>
      <c r="E117" s="67">
        <v>447.93</v>
      </c>
      <c r="F117" s="74">
        <v>0.35</v>
      </c>
      <c r="G117" s="63">
        <v>0.17</v>
      </c>
      <c r="H117" s="67">
        <v>0.17</v>
      </c>
      <c r="I117" s="74">
        <v>-0.16</v>
      </c>
      <c r="J117" s="63">
        <v>-7.0000000000000007E-2</v>
      </c>
      <c r="K117" s="67">
        <v>-0.08</v>
      </c>
    </row>
    <row r="118" spans="1:11" s="23" customFormat="1" ht="15" customHeight="1" x14ac:dyDescent="0.25">
      <c r="A118" s="205"/>
      <c r="B118" s="14">
        <v>2401</v>
      </c>
      <c r="C118" s="74">
        <v>7148298.6500000004</v>
      </c>
      <c r="D118" s="63">
        <v>513822.9</v>
      </c>
      <c r="E118" s="67">
        <v>447.93</v>
      </c>
      <c r="F118" s="74">
        <v>0.45</v>
      </c>
      <c r="G118" s="63">
        <v>0.1</v>
      </c>
      <c r="H118" s="67">
        <v>0.11</v>
      </c>
      <c r="I118" s="74">
        <v>-0.16</v>
      </c>
      <c r="J118" s="63">
        <v>0</v>
      </c>
      <c r="K118" s="67">
        <v>0</v>
      </c>
    </row>
    <row r="119" spans="1:11" s="23" customFormat="1" ht="15" customHeight="1" x14ac:dyDescent="0.25">
      <c r="A119" s="205"/>
      <c r="B119" s="14">
        <v>3113</v>
      </c>
      <c r="C119" s="74">
        <v>7148298.6799999997</v>
      </c>
      <c r="D119" s="63">
        <v>513823.08</v>
      </c>
      <c r="E119" s="67">
        <v>447.87</v>
      </c>
      <c r="F119" s="74">
        <v>0.62</v>
      </c>
      <c r="G119" s="63">
        <v>0.17</v>
      </c>
      <c r="H119" s="67">
        <v>0.09</v>
      </c>
      <c r="I119" s="74">
        <v>-0.22</v>
      </c>
      <c r="J119" s="63">
        <v>-0.06</v>
      </c>
      <c r="K119" s="67">
        <v>-0.03</v>
      </c>
    </row>
    <row r="120" spans="1:11" s="23" customFormat="1" ht="15" customHeight="1" x14ac:dyDescent="0.25">
      <c r="A120" s="205"/>
      <c r="B120" s="14">
        <v>3854</v>
      </c>
      <c r="C120" s="74">
        <v>7148298.7000000002</v>
      </c>
      <c r="D120" s="63">
        <v>513823.18</v>
      </c>
      <c r="E120" s="67">
        <v>447.83</v>
      </c>
      <c r="F120" s="74">
        <v>0.73</v>
      </c>
      <c r="G120" s="63">
        <v>0.11</v>
      </c>
      <c r="H120" s="67">
        <v>0.05</v>
      </c>
      <c r="I120" s="74">
        <v>-0.26</v>
      </c>
      <c r="J120" s="63">
        <v>-0.05</v>
      </c>
      <c r="K120" s="67">
        <v>-0.02</v>
      </c>
    </row>
    <row r="121" spans="1:11" s="23" customFormat="1" ht="15" customHeight="1" x14ac:dyDescent="0.25">
      <c r="A121" s="205"/>
      <c r="B121" s="14">
        <v>3921</v>
      </c>
      <c r="C121" s="74">
        <v>7148298.6900000004</v>
      </c>
      <c r="D121" s="63">
        <v>513823.22</v>
      </c>
      <c r="E121" s="67">
        <v>447.79</v>
      </c>
      <c r="F121" s="74">
        <v>0.77</v>
      </c>
      <c r="G121" s="63">
        <v>0.05</v>
      </c>
      <c r="H121" s="67">
        <v>0.26</v>
      </c>
      <c r="I121" s="74">
        <v>-0.3</v>
      </c>
      <c r="J121" s="63">
        <v>-0.03</v>
      </c>
      <c r="K121" s="67">
        <v>-0.19</v>
      </c>
    </row>
    <row r="122" spans="1:11" s="23" customFormat="1" ht="15" customHeight="1" x14ac:dyDescent="0.25">
      <c r="A122" s="205"/>
      <c r="B122" s="14">
        <v>40766</v>
      </c>
      <c r="C122" s="74">
        <v>7148298.7000000002</v>
      </c>
      <c r="D122" s="63">
        <v>513823.27</v>
      </c>
      <c r="E122" s="67">
        <v>447.77</v>
      </c>
      <c r="F122" s="74">
        <v>0.82</v>
      </c>
      <c r="G122" s="63">
        <v>0.05</v>
      </c>
      <c r="H122" s="67">
        <v>0.05</v>
      </c>
      <c r="I122" s="74">
        <v>-0.32</v>
      </c>
      <c r="J122" s="63">
        <v>-0.02</v>
      </c>
      <c r="K122" s="67">
        <v>-0.03</v>
      </c>
    </row>
    <row r="123" spans="1:11" s="23" customFormat="1" ht="15" customHeight="1" x14ac:dyDescent="0.25">
      <c r="A123" s="205"/>
      <c r="B123" s="58">
        <v>41127</v>
      </c>
      <c r="C123" s="128">
        <v>7148298.7199999997</v>
      </c>
      <c r="D123" s="129">
        <v>513823.33</v>
      </c>
      <c r="E123" s="130">
        <v>447.74</v>
      </c>
      <c r="F123" s="175">
        <f>F122+G123</f>
        <v>0.88324555305979391</v>
      </c>
      <c r="G123" s="173">
        <f>SQRT(((C123-C122)^2)+((D123-D122)^2))</f>
        <v>6.324555305979393E-2</v>
      </c>
      <c r="H123" s="174">
        <f>G123/((B123-B122)/365)</f>
        <v>6.3946334811148989E-2</v>
      </c>
      <c r="I123" s="175">
        <f>I122+J123</f>
        <v>-0.34999999999997272</v>
      </c>
      <c r="J123" s="173">
        <f>E123-E122</f>
        <v>-2.9999999999972715E-2</v>
      </c>
      <c r="K123" s="174">
        <f>J123/((B123-B122)/365)</f>
        <v>-3.033240997227158E-2</v>
      </c>
    </row>
    <row r="124" spans="1:11" s="23" customFormat="1" ht="15" customHeight="1" x14ac:dyDescent="0.25">
      <c r="A124" s="206"/>
      <c r="B124" s="15">
        <v>41883</v>
      </c>
      <c r="C124" s="75">
        <v>7148298.7539999997</v>
      </c>
      <c r="D124" s="68">
        <v>513823.40100000001</v>
      </c>
      <c r="E124" s="69">
        <v>447.66199999999998</v>
      </c>
      <c r="F124" s="175">
        <f>F123+G124</f>
        <v>0.96196657946607067</v>
      </c>
      <c r="G124" s="173">
        <f>SQRT(((C124-C123)^2)+((D124-D123)^2))</f>
        <v>7.8721026406276803E-2</v>
      </c>
      <c r="H124" s="174">
        <f>G124/((B124-B123)/365)</f>
        <v>3.8006844759644227E-2</v>
      </c>
      <c r="I124" s="175">
        <f>I123+J124</f>
        <v>-0.4280000000000041</v>
      </c>
      <c r="J124" s="173">
        <f>E124-E123</f>
        <v>-7.8000000000031378E-2</v>
      </c>
      <c r="K124" s="174">
        <f>J124/((B124-B123)/365)</f>
        <v>-3.765873015874531E-2</v>
      </c>
    </row>
    <row r="125" spans="1:11" s="23" customFormat="1" ht="15" customHeight="1" x14ac:dyDescent="0.25">
      <c r="A125" s="201" t="s">
        <v>25</v>
      </c>
      <c r="B125" s="13" t="s">
        <v>14</v>
      </c>
      <c r="C125" s="73"/>
      <c r="D125" s="65"/>
      <c r="E125" s="66"/>
      <c r="F125" s="73"/>
      <c r="G125" s="65"/>
      <c r="H125" s="66">
        <v>7.0408800000000005</v>
      </c>
      <c r="I125" s="73"/>
      <c r="J125" s="65"/>
      <c r="K125" s="66"/>
    </row>
    <row r="126" spans="1:11" s="23" customFormat="1" ht="15" customHeight="1" x14ac:dyDescent="0.25">
      <c r="A126" s="202"/>
      <c r="B126" s="14" t="s">
        <v>15</v>
      </c>
      <c r="C126" s="74"/>
      <c r="D126" s="63"/>
      <c r="E126" s="67"/>
      <c r="F126" s="74"/>
      <c r="G126" s="63"/>
      <c r="H126" s="67">
        <v>3.5356800000000002</v>
      </c>
      <c r="I126" s="74"/>
      <c r="J126" s="63"/>
      <c r="K126" s="67"/>
    </row>
    <row r="127" spans="1:11" s="23" customFormat="1" ht="15" customHeight="1" x14ac:dyDescent="0.25">
      <c r="A127" s="202"/>
      <c r="B127" s="14" t="s">
        <v>16</v>
      </c>
      <c r="C127" s="74"/>
      <c r="D127" s="63"/>
      <c r="E127" s="67"/>
      <c r="F127" s="74"/>
      <c r="G127" s="63"/>
      <c r="H127" s="67">
        <v>5.0596800000000011</v>
      </c>
      <c r="I127" s="74"/>
      <c r="J127" s="63"/>
      <c r="K127" s="67"/>
    </row>
    <row r="128" spans="1:11" s="23" customFormat="1" ht="15" customHeight="1" x14ac:dyDescent="0.25">
      <c r="A128" s="202"/>
      <c r="B128" s="14" t="s">
        <v>17</v>
      </c>
      <c r="C128" s="74"/>
      <c r="D128" s="63"/>
      <c r="E128" s="67"/>
      <c r="F128" s="74"/>
      <c r="G128" s="63"/>
      <c r="H128" s="67">
        <v>5.3340000000000005</v>
      </c>
      <c r="I128" s="74"/>
      <c r="J128" s="63"/>
      <c r="K128" s="67"/>
    </row>
    <row r="129" spans="1:11" s="23" customFormat="1" ht="15" customHeight="1" x14ac:dyDescent="0.25">
      <c r="A129" s="202"/>
      <c r="B129" s="14" t="s">
        <v>18</v>
      </c>
      <c r="C129" s="74"/>
      <c r="D129" s="63"/>
      <c r="E129" s="67"/>
      <c r="F129" s="74"/>
      <c r="G129" s="63"/>
      <c r="H129" s="67">
        <v>8.9916</v>
      </c>
      <c r="I129" s="74"/>
      <c r="J129" s="63"/>
      <c r="K129" s="67">
        <v>-3.13944</v>
      </c>
    </row>
    <row r="130" spans="1:11" s="23" customFormat="1" ht="15" customHeight="1" x14ac:dyDescent="0.25">
      <c r="A130" s="202"/>
      <c r="B130" s="14" t="s">
        <v>19</v>
      </c>
      <c r="C130" s="74"/>
      <c r="D130" s="63"/>
      <c r="E130" s="67"/>
      <c r="F130" s="74"/>
      <c r="G130" s="63"/>
      <c r="H130" s="67">
        <v>11.247120000000001</v>
      </c>
      <c r="I130" s="74"/>
      <c r="J130" s="63"/>
      <c r="K130" s="67">
        <v>-3.6271200000000001</v>
      </c>
    </row>
    <row r="131" spans="1:11" s="23" customFormat="1" ht="15" customHeight="1" x14ac:dyDescent="0.25">
      <c r="A131" s="202"/>
      <c r="B131" s="14">
        <v>29799</v>
      </c>
      <c r="C131" s="74"/>
      <c r="D131" s="63"/>
      <c r="E131" s="67"/>
      <c r="F131" s="74"/>
      <c r="G131" s="63"/>
      <c r="H131" s="67">
        <v>17.465039999999998</v>
      </c>
      <c r="I131" s="74"/>
      <c r="J131" s="63"/>
      <c r="K131" s="67">
        <v>-5.215128</v>
      </c>
    </row>
    <row r="132" spans="1:11" s="23" customFormat="1" ht="15" customHeight="1" x14ac:dyDescent="0.25">
      <c r="A132" s="202"/>
      <c r="B132" s="14">
        <v>30103</v>
      </c>
      <c r="C132" s="74"/>
      <c r="D132" s="63"/>
      <c r="E132" s="67"/>
      <c r="F132" s="74"/>
      <c r="G132" s="63"/>
      <c r="H132" s="67">
        <v>20.086320000000004</v>
      </c>
      <c r="I132" s="74"/>
      <c r="J132" s="63"/>
      <c r="K132" s="67">
        <v>-8.2783680000000004</v>
      </c>
    </row>
    <row r="133" spans="1:11" s="23" customFormat="1" ht="15" customHeight="1" x14ac:dyDescent="0.25">
      <c r="A133" s="202"/>
      <c r="B133" s="14">
        <v>30468</v>
      </c>
      <c r="C133" s="74">
        <f>114340.6*0.3048</f>
        <v>34851.014880000002</v>
      </c>
      <c r="D133" s="63">
        <f>109191.24*0.3048</f>
        <v>33281.489952000004</v>
      </c>
      <c r="E133" s="67">
        <v>466.74024000000003</v>
      </c>
      <c r="F133" s="74"/>
      <c r="G133" s="63"/>
      <c r="H133" s="67">
        <v>28.026360000000004</v>
      </c>
      <c r="I133" s="74"/>
      <c r="J133" s="63"/>
      <c r="K133" s="67">
        <v>-11.451336000000001</v>
      </c>
    </row>
    <row r="134" spans="1:11" s="23" customFormat="1" ht="15" customHeight="1" x14ac:dyDescent="0.25">
      <c r="A134" s="202"/>
      <c r="B134" s="14">
        <v>30560</v>
      </c>
      <c r="C134" s="74">
        <f>114341.1*0.3048</f>
        <v>34851.167280000001</v>
      </c>
      <c r="D134" s="63">
        <f>109218.67*0.3048</f>
        <v>33289.850616000003</v>
      </c>
      <c r="E134" s="67">
        <v>464.137248</v>
      </c>
      <c r="F134" s="74"/>
      <c r="G134" s="63"/>
      <c r="H134" s="67">
        <v>28.998672000000003</v>
      </c>
      <c r="I134" s="74"/>
      <c r="J134" s="63"/>
      <c r="K134" s="67">
        <v>-8.9641680000000008</v>
      </c>
    </row>
    <row r="135" spans="1:11" s="23" customFormat="1" ht="15" customHeight="1" x14ac:dyDescent="0.25">
      <c r="A135" s="202"/>
      <c r="B135" s="14">
        <v>1329</v>
      </c>
      <c r="C135" s="85">
        <v>7148300.5199999996</v>
      </c>
      <c r="D135" s="86">
        <v>513873.67</v>
      </c>
      <c r="E135" s="87">
        <v>428.71</v>
      </c>
      <c r="F135" s="85"/>
      <c r="G135" s="86"/>
      <c r="H135" s="87">
        <v>3.8</v>
      </c>
      <c r="I135" s="85"/>
      <c r="J135" s="86"/>
      <c r="K135" s="87">
        <v>-1.52</v>
      </c>
    </row>
    <row r="136" spans="1:11" s="23" customFormat="1" ht="15" customHeight="1" x14ac:dyDescent="0.25">
      <c r="A136" s="202"/>
      <c r="B136" s="14">
        <v>1671</v>
      </c>
      <c r="C136" s="85">
        <v>7148300.5300000003</v>
      </c>
      <c r="D136" s="86">
        <v>513873.83</v>
      </c>
      <c r="E136" s="87">
        <v>428.58</v>
      </c>
      <c r="F136" s="85">
        <v>0.16</v>
      </c>
      <c r="G136" s="86">
        <v>0.16</v>
      </c>
      <c r="H136" s="87">
        <v>0.17</v>
      </c>
      <c r="I136" s="85">
        <v>-0.13</v>
      </c>
      <c r="J136" s="86">
        <v>-0.13</v>
      </c>
      <c r="K136" s="87">
        <v>-0.14000000000000001</v>
      </c>
    </row>
    <row r="137" spans="1:11" s="23" customFormat="1" ht="15" customHeight="1" x14ac:dyDescent="0.25">
      <c r="A137" s="202"/>
      <c r="B137" s="14">
        <v>1728</v>
      </c>
      <c r="C137" s="85">
        <v>7148300.54</v>
      </c>
      <c r="D137" s="86">
        <v>513873.85</v>
      </c>
      <c r="E137" s="87">
        <v>428.58</v>
      </c>
      <c r="F137" s="85">
        <v>0.17</v>
      </c>
      <c r="G137" s="86">
        <v>0.01</v>
      </c>
      <c r="H137" s="87">
        <v>0.09</v>
      </c>
      <c r="I137" s="85">
        <v>-0.13</v>
      </c>
      <c r="J137" s="86">
        <v>-0.01</v>
      </c>
      <c r="K137" s="87">
        <v>-0.04</v>
      </c>
    </row>
    <row r="138" spans="1:11" s="23" customFormat="1" ht="15" customHeight="1" x14ac:dyDescent="0.25">
      <c r="A138" s="202"/>
      <c r="B138" s="14">
        <v>2087</v>
      </c>
      <c r="C138" s="85">
        <v>7148300.5199999996</v>
      </c>
      <c r="D138" s="86">
        <v>513873.98</v>
      </c>
      <c r="E138" s="87">
        <v>428.51</v>
      </c>
      <c r="F138" s="85">
        <v>0.31</v>
      </c>
      <c r="G138" s="86">
        <v>0.14000000000000001</v>
      </c>
      <c r="H138" s="87">
        <v>0.14000000000000001</v>
      </c>
      <c r="I138" s="85">
        <v>-0.2</v>
      </c>
      <c r="J138" s="86">
        <v>-0.06</v>
      </c>
      <c r="K138" s="87">
        <v>-7.0000000000000007E-2</v>
      </c>
    </row>
    <row r="139" spans="1:11" s="23" customFormat="1" ht="15" customHeight="1" x14ac:dyDescent="0.25">
      <c r="A139" s="202"/>
      <c r="B139" s="14">
        <v>2401</v>
      </c>
      <c r="C139" s="85">
        <v>7148300.5199999996</v>
      </c>
      <c r="D139" s="86">
        <v>513874.08</v>
      </c>
      <c r="E139" s="87">
        <v>428.52</v>
      </c>
      <c r="F139" s="85">
        <v>0.41</v>
      </c>
      <c r="G139" s="86">
        <v>0.1</v>
      </c>
      <c r="H139" s="87">
        <v>0.12</v>
      </c>
      <c r="I139" s="85">
        <v>-0.19</v>
      </c>
      <c r="J139" s="86">
        <v>0.01</v>
      </c>
      <c r="K139" s="87">
        <v>0.01</v>
      </c>
    </row>
    <row r="140" spans="1:11" s="23" customFormat="1" ht="15" customHeight="1" x14ac:dyDescent="0.25">
      <c r="A140" s="202"/>
      <c r="B140" s="14">
        <v>3113</v>
      </c>
      <c r="C140" s="85">
        <v>7148300.5</v>
      </c>
      <c r="D140" s="86">
        <v>513874.23</v>
      </c>
      <c r="E140" s="87">
        <v>428.47</v>
      </c>
      <c r="F140" s="85">
        <v>0.56000000000000005</v>
      </c>
      <c r="G140" s="86">
        <v>0.15</v>
      </c>
      <c r="H140" s="87">
        <v>0.08</v>
      </c>
      <c r="I140" s="85">
        <v>-0.25</v>
      </c>
      <c r="J140" s="86">
        <v>-0.06</v>
      </c>
      <c r="K140" s="87">
        <v>-0.03</v>
      </c>
    </row>
    <row r="141" spans="1:11" s="23" customFormat="1" ht="15" customHeight="1" x14ac:dyDescent="0.25">
      <c r="A141" s="202"/>
      <c r="B141" s="14">
        <v>3854</v>
      </c>
      <c r="C141" s="85">
        <v>7148300.4900000002</v>
      </c>
      <c r="D141" s="86">
        <v>513874.35</v>
      </c>
      <c r="E141" s="87">
        <v>428.42</v>
      </c>
      <c r="F141" s="85">
        <v>0.68</v>
      </c>
      <c r="G141" s="86">
        <v>0.12</v>
      </c>
      <c r="H141" s="87">
        <v>0.06</v>
      </c>
      <c r="I141" s="85">
        <v>-0.28999999999999998</v>
      </c>
      <c r="J141" s="86">
        <v>-0.04</v>
      </c>
      <c r="K141" s="87">
        <v>-0.02</v>
      </c>
    </row>
    <row r="142" spans="1:11" x14ac:dyDescent="0.25">
      <c r="A142" s="202"/>
      <c r="B142" s="14">
        <v>3921</v>
      </c>
      <c r="C142" s="85">
        <v>7148300.4800000004</v>
      </c>
      <c r="D142" s="86">
        <v>513874.39</v>
      </c>
      <c r="E142" s="87">
        <v>428.38</v>
      </c>
      <c r="F142" s="85">
        <v>0.72</v>
      </c>
      <c r="G142" s="86">
        <v>0.04</v>
      </c>
      <c r="H142" s="87">
        <v>0.23</v>
      </c>
      <c r="I142" s="85">
        <v>-0.33</v>
      </c>
      <c r="J142" s="86">
        <v>-0.04</v>
      </c>
      <c r="K142" s="87">
        <v>-0.23</v>
      </c>
    </row>
    <row r="143" spans="1:11" x14ac:dyDescent="0.25">
      <c r="A143" s="202"/>
      <c r="B143" s="14">
        <v>40766</v>
      </c>
      <c r="C143" s="85">
        <v>7148300.4800000004</v>
      </c>
      <c r="D143" s="86">
        <v>513874.44</v>
      </c>
      <c r="E143" s="87">
        <v>428.37</v>
      </c>
      <c r="F143" s="85">
        <v>0.77</v>
      </c>
      <c r="G143" s="86">
        <v>0.05</v>
      </c>
      <c r="H143" s="87">
        <v>0.05</v>
      </c>
      <c r="I143" s="85">
        <v>-0.34</v>
      </c>
      <c r="J143" s="86">
        <v>-0.01</v>
      </c>
      <c r="K143" s="87">
        <v>-0.01</v>
      </c>
    </row>
    <row r="144" spans="1:11" x14ac:dyDescent="0.25">
      <c r="A144" s="202"/>
      <c r="B144" s="58">
        <v>41127</v>
      </c>
      <c r="C144" s="131">
        <v>7148300.4800000004</v>
      </c>
      <c r="D144" s="132">
        <v>513874.5</v>
      </c>
      <c r="E144" s="133">
        <v>428.35</v>
      </c>
      <c r="F144" s="175">
        <f>F143+G144</f>
        <v>0.82999999999767171</v>
      </c>
      <c r="G144" s="173">
        <f>SQRT(((C144-C143)^2)+((D144-D143)^2))</f>
        <v>5.9999999997671694E-2</v>
      </c>
      <c r="H144" s="174">
        <f>G144/((B144-B143)/365)</f>
        <v>6.0664819942244229E-2</v>
      </c>
      <c r="I144" s="175">
        <f>I143+J144</f>
        <v>-0.35999999999998183</v>
      </c>
      <c r="J144" s="173">
        <f>E144-E143</f>
        <v>-1.999999999998181E-2</v>
      </c>
      <c r="K144" s="174">
        <f>J144/((B144-B143)/365)</f>
        <v>-2.0221606648181054E-2</v>
      </c>
    </row>
    <row r="145" spans="1:11" x14ac:dyDescent="0.25">
      <c r="A145" s="203"/>
      <c r="B145" s="15">
        <v>41883</v>
      </c>
      <c r="C145" s="118">
        <v>7148300.4869999997</v>
      </c>
      <c r="D145" s="119">
        <v>513874.54399999999</v>
      </c>
      <c r="E145" s="120">
        <v>428.32</v>
      </c>
      <c r="F145" s="175">
        <f>F144+G145</f>
        <v>0.87455333869966667</v>
      </c>
      <c r="G145" s="173">
        <f>SQRT(((C145-C144)^2)+((D145-D144)^2))</f>
        <v>4.455333870199496E-2</v>
      </c>
      <c r="H145" s="174">
        <f>G145/((B145-B144)/365)</f>
        <v>2.1510540510883809E-2</v>
      </c>
      <c r="I145" s="175">
        <f>I144+J145</f>
        <v>-0.39000000000001139</v>
      </c>
      <c r="J145" s="173">
        <f>E145-E144</f>
        <v>-3.0000000000029559E-2</v>
      </c>
      <c r="K145" s="174">
        <f>J145/((B145-B144)/365)</f>
        <v>-1.4484126984141256E-2</v>
      </c>
    </row>
    <row r="146" spans="1:11" x14ac:dyDescent="0.25">
      <c r="A146" s="204" t="s">
        <v>10</v>
      </c>
      <c r="B146" s="13" t="s">
        <v>14</v>
      </c>
      <c r="C146" s="73"/>
      <c r="D146" s="65"/>
      <c r="E146" s="66"/>
      <c r="F146" s="73"/>
      <c r="G146" s="65"/>
      <c r="H146" s="66">
        <v>8.7172800000000006</v>
      </c>
      <c r="I146" s="73"/>
      <c r="J146" s="65"/>
      <c r="K146" s="66"/>
    </row>
    <row r="147" spans="1:11" x14ac:dyDescent="0.25">
      <c r="A147" s="205"/>
      <c r="B147" s="14" t="s">
        <v>15</v>
      </c>
      <c r="C147" s="74"/>
      <c r="D147" s="63"/>
      <c r="E147" s="67"/>
      <c r="F147" s="74"/>
      <c r="G147" s="63"/>
      <c r="H147" s="117">
        <v>3.5356800000000002</v>
      </c>
      <c r="I147" s="74"/>
      <c r="J147" s="63"/>
      <c r="K147" s="67"/>
    </row>
    <row r="148" spans="1:11" x14ac:dyDescent="0.25">
      <c r="A148" s="205"/>
      <c r="B148" s="14" t="s">
        <v>16</v>
      </c>
      <c r="C148" s="74"/>
      <c r="D148" s="63"/>
      <c r="E148" s="67"/>
      <c r="F148" s="74"/>
      <c r="G148" s="63"/>
      <c r="H148" s="67">
        <v>5.2730400000000008</v>
      </c>
      <c r="I148" s="74"/>
      <c r="J148" s="63"/>
      <c r="K148" s="67"/>
    </row>
    <row r="149" spans="1:11" s="23" customFormat="1" ht="15" customHeight="1" x14ac:dyDescent="0.25">
      <c r="A149" s="205"/>
      <c r="B149" s="14" t="s">
        <v>17</v>
      </c>
      <c r="C149" s="74"/>
      <c r="D149" s="63"/>
      <c r="E149" s="67"/>
      <c r="F149" s="74"/>
      <c r="G149" s="63"/>
      <c r="H149" s="67">
        <v>4.8768000000000002</v>
      </c>
      <c r="I149" s="74"/>
      <c r="J149" s="63"/>
      <c r="K149" s="67"/>
    </row>
    <row r="150" spans="1:11" s="23" customFormat="1" ht="15" customHeight="1" x14ac:dyDescent="0.25">
      <c r="A150" s="205"/>
      <c r="B150" s="14" t="s">
        <v>18</v>
      </c>
      <c r="C150" s="74"/>
      <c r="D150" s="63"/>
      <c r="E150" s="67"/>
      <c r="F150" s="74"/>
      <c r="G150" s="63"/>
      <c r="H150" s="67">
        <v>9.0220800000000008</v>
      </c>
      <c r="I150" s="74"/>
      <c r="J150" s="63"/>
      <c r="K150" s="67">
        <v>-4.6939200000000003</v>
      </c>
    </row>
    <row r="151" spans="1:11" s="23" customFormat="1" ht="15" customHeight="1" x14ac:dyDescent="0.25">
      <c r="A151" s="205"/>
      <c r="B151" s="14" t="s">
        <v>19</v>
      </c>
      <c r="C151" s="74"/>
      <c r="D151" s="63"/>
      <c r="E151" s="67"/>
      <c r="F151" s="74"/>
      <c r="G151" s="63"/>
      <c r="H151" s="67">
        <v>9.1744800000000009</v>
      </c>
      <c r="I151" s="74"/>
      <c r="J151" s="63"/>
      <c r="K151" s="67">
        <v>-5.5473600000000003</v>
      </c>
    </row>
    <row r="152" spans="1:11" s="23" customFormat="1" ht="15" customHeight="1" x14ac:dyDescent="0.25">
      <c r="A152" s="205"/>
      <c r="B152" s="14">
        <v>29799</v>
      </c>
      <c r="C152" s="74"/>
      <c r="D152" s="63"/>
      <c r="E152" s="67"/>
      <c r="F152" s="74"/>
      <c r="G152" s="63"/>
      <c r="H152" s="67">
        <v>14.904720000000001</v>
      </c>
      <c r="I152" s="85"/>
      <c r="J152" s="63"/>
      <c r="K152" s="67">
        <v>-8.0040480000000009</v>
      </c>
    </row>
    <row r="153" spans="1:11" s="23" customFormat="1" ht="15" customHeight="1" x14ac:dyDescent="0.25">
      <c r="A153" s="205"/>
      <c r="B153" s="14">
        <v>30103</v>
      </c>
      <c r="C153" s="74"/>
      <c r="D153" s="63"/>
      <c r="E153" s="67"/>
      <c r="F153" s="74"/>
      <c r="G153" s="63"/>
      <c r="H153" s="67">
        <v>16.885919999999999</v>
      </c>
      <c r="I153" s="74"/>
      <c r="J153" s="63"/>
      <c r="K153" s="67">
        <v>-10.003536</v>
      </c>
    </row>
    <row r="154" spans="1:11" s="23" customFormat="1" ht="15" customHeight="1" x14ac:dyDescent="0.25">
      <c r="A154" s="205"/>
      <c r="B154" s="14">
        <v>30468</v>
      </c>
      <c r="C154" s="74">
        <f>114511.85*0.3048</f>
        <v>34903.211880000003</v>
      </c>
      <c r="D154" s="63">
        <f>108842.18*0.3048</f>
        <v>33175.096464000002</v>
      </c>
      <c r="E154" s="67">
        <v>495.08663999999999</v>
      </c>
      <c r="F154" s="74"/>
      <c r="G154" s="63"/>
      <c r="H154" s="67">
        <v>17.416271999999999</v>
      </c>
      <c r="I154" s="74"/>
      <c r="J154" s="63"/>
      <c r="K154" s="67">
        <v>-7.4736960000000003</v>
      </c>
    </row>
    <row r="155" spans="1:11" s="23" customFormat="1" ht="15" customHeight="1" x14ac:dyDescent="0.25">
      <c r="A155" s="205"/>
      <c r="B155" s="14">
        <v>30560</v>
      </c>
      <c r="C155" s="74">
        <f>114510.89*0.3048</f>
        <v>34902.919271999999</v>
      </c>
      <c r="D155" s="63">
        <f>108856.73*0.3048</f>
        <v>33179.531304000004</v>
      </c>
      <c r="E155" s="67">
        <v>493.63884000000002</v>
      </c>
      <c r="F155" s="74"/>
      <c r="G155" s="63"/>
      <c r="H155" s="87">
        <v>15.300960000000002</v>
      </c>
      <c r="I155" s="74"/>
      <c r="J155" s="63"/>
      <c r="K155" s="67">
        <v>-4.9865279999999998</v>
      </c>
    </row>
    <row r="156" spans="1:11" x14ac:dyDescent="0.25">
      <c r="A156" s="205"/>
      <c r="B156" s="14">
        <v>30834</v>
      </c>
      <c r="C156" s="74"/>
      <c r="D156" s="63"/>
      <c r="E156" s="67"/>
      <c r="F156" s="74"/>
      <c r="G156" s="63"/>
      <c r="H156" s="87">
        <v>10.158984</v>
      </c>
      <c r="I156" s="74"/>
      <c r="J156" s="63"/>
      <c r="K156" s="67">
        <v>-4.6908720000000006</v>
      </c>
    </row>
    <row r="157" spans="1:11" x14ac:dyDescent="0.25">
      <c r="A157" s="205"/>
      <c r="B157" s="14">
        <v>31199</v>
      </c>
      <c r="C157" s="74"/>
      <c r="D157" s="63"/>
      <c r="E157" s="67"/>
      <c r="F157" s="74"/>
      <c r="G157" s="63"/>
      <c r="H157" s="67">
        <v>10.381488000000001</v>
      </c>
      <c r="I157" s="74"/>
      <c r="J157" s="63"/>
      <c r="K157" s="67">
        <v>-2.353056</v>
      </c>
    </row>
    <row r="158" spans="1:11" x14ac:dyDescent="0.25">
      <c r="A158" s="205"/>
      <c r="B158" s="14">
        <v>31594</v>
      </c>
      <c r="C158" s="74">
        <f>114499.71*0.3048</f>
        <v>34899.511608000001</v>
      </c>
      <c r="D158" s="63">
        <f>108956.04*0.3048</f>
        <v>33209.800991999997</v>
      </c>
      <c r="E158" s="67">
        <v>482.22103199999998</v>
      </c>
      <c r="F158" s="74"/>
      <c r="G158" s="63"/>
      <c r="H158" s="67">
        <v>12.7254</v>
      </c>
      <c r="I158" s="74"/>
      <c r="J158" s="63"/>
      <c r="K158" s="67">
        <v>-5.6601360000000005</v>
      </c>
    </row>
    <row r="159" spans="1:11" s="23" customFormat="1" ht="15" customHeight="1" x14ac:dyDescent="0.25">
      <c r="A159" s="205"/>
      <c r="B159" s="14">
        <v>1329</v>
      </c>
      <c r="C159" s="74">
        <v>7148343.2199999997</v>
      </c>
      <c r="D159" s="63">
        <v>513725.53</v>
      </c>
      <c r="E159" s="67">
        <v>474.09</v>
      </c>
      <c r="F159" s="74"/>
      <c r="G159" s="64"/>
      <c r="H159" s="67">
        <v>2.29</v>
      </c>
      <c r="I159" s="74"/>
      <c r="J159" s="64"/>
      <c r="K159" s="67">
        <v>-0.79</v>
      </c>
    </row>
    <row r="160" spans="1:11" s="23" customFormat="1" ht="15" customHeight="1" x14ac:dyDescent="0.25">
      <c r="A160" s="205"/>
      <c r="B160" s="14">
        <v>1671</v>
      </c>
      <c r="C160" s="74">
        <v>7148343.2400000002</v>
      </c>
      <c r="D160" s="63">
        <v>513725.54</v>
      </c>
      <c r="E160" s="67">
        <v>474.02</v>
      </c>
      <c r="F160" s="74">
        <v>0.02</v>
      </c>
      <c r="G160" s="63">
        <v>0.02</v>
      </c>
      <c r="H160" s="67">
        <v>0.02</v>
      </c>
      <c r="I160" s="74">
        <v>-7.0000000000000007E-2</v>
      </c>
      <c r="J160" s="63">
        <v>-7.0000000000000007E-2</v>
      </c>
      <c r="K160" s="67">
        <v>-7.0000000000000007E-2</v>
      </c>
    </row>
    <row r="161" spans="1:11" s="23" customFormat="1" ht="15" customHeight="1" x14ac:dyDescent="0.25">
      <c r="A161" s="205"/>
      <c r="B161" s="14">
        <v>1728</v>
      </c>
      <c r="C161" s="74">
        <v>7148343.2400000002</v>
      </c>
      <c r="D161" s="63">
        <v>513725.53</v>
      </c>
      <c r="E161" s="67">
        <v>474.01</v>
      </c>
      <c r="F161" s="74">
        <v>0.01</v>
      </c>
      <c r="G161" s="63">
        <v>0.01</v>
      </c>
      <c r="H161" s="67">
        <v>0.09</v>
      </c>
      <c r="I161" s="74">
        <v>-0.08</v>
      </c>
      <c r="J161" s="63">
        <v>-0.01</v>
      </c>
      <c r="K161" s="67">
        <v>-0.06</v>
      </c>
    </row>
    <row r="162" spans="1:11" s="23" customFormat="1" ht="15" customHeight="1" x14ac:dyDescent="0.25">
      <c r="A162" s="205"/>
      <c r="B162" s="14">
        <v>2087</v>
      </c>
      <c r="C162" s="74">
        <v>7148343.2400000002</v>
      </c>
      <c r="D162" s="63">
        <v>513725.55</v>
      </c>
      <c r="E162" s="67">
        <v>473.95</v>
      </c>
      <c r="F162" s="74">
        <v>0.03</v>
      </c>
      <c r="G162" s="63">
        <v>0.02</v>
      </c>
      <c r="H162" s="67">
        <v>0.02</v>
      </c>
      <c r="I162" s="74">
        <v>-0.14000000000000001</v>
      </c>
      <c r="J162" s="63">
        <v>-0.06</v>
      </c>
      <c r="K162" s="67">
        <v>-0.06</v>
      </c>
    </row>
    <row r="163" spans="1:11" s="23" customFormat="1" ht="15" customHeight="1" x14ac:dyDescent="0.25">
      <c r="A163" s="205"/>
      <c r="B163" s="14">
        <v>2401</v>
      </c>
      <c r="C163" s="74">
        <v>7148343.2400000002</v>
      </c>
      <c r="D163" s="63">
        <v>513725.56</v>
      </c>
      <c r="E163" s="67">
        <v>474.1</v>
      </c>
      <c r="F163" s="74">
        <v>0.04</v>
      </c>
      <c r="G163" s="63">
        <v>0.02</v>
      </c>
      <c r="H163" s="67">
        <v>0.02</v>
      </c>
      <c r="I163" s="74">
        <v>0.01</v>
      </c>
      <c r="J163" s="63">
        <v>0.14000000000000001</v>
      </c>
      <c r="K163" s="67">
        <v>0.16</v>
      </c>
    </row>
    <row r="164" spans="1:11" s="23" customFormat="1" ht="15" customHeight="1" x14ac:dyDescent="0.25">
      <c r="A164" s="205"/>
      <c r="B164" s="14">
        <v>3113</v>
      </c>
      <c r="C164" s="74">
        <v>7148343.25</v>
      </c>
      <c r="D164" s="63">
        <v>513725.57</v>
      </c>
      <c r="E164" s="67">
        <v>474.08</v>
      </c>
      <c r="F164" s="74">
        <v>0.05</v>
      </c>
      <c r="G164" s="63">
        <v>0.01</v>
      </c>
      <c r="H164" s="67">
        <v>0.01</v>
      </c>
      <c r="I164" s="74">
        <v>-0.01</v>
      </c>
      <c r="J164" s="63">
        <v>-0.01</v>
      </c>
      <c r="K164" s="67">
        <v>-0.01</v>
      </c>
    </row>
    <row r="165" spans="1:11" s="23" customFormat="1" ht="15" customHeight="1" x14ac:dyDescent="0.25">
      <c r="A165" s="205"/>
      <c r="B165" s="14">
        <v>3854</v>
      </c>
      <c r="C165" s="74">
        <v>7148343.2300000004</v>
      </c>
      <c r="D165" s="63">
        <v>513725.56</v>
      </c>
      <c r="E165" s="67">
        <v>474.1</v>
      </c>
      <c r="F165" s="74">
        <v>0.04</v>
      </c>
      <c r="G165" s="63">
        <v>0.02</v>
      </c>
      <c r="H165" s="67">
        <v>0.01</v>
      </c>
      <c r="I165" s="74">
        <v>0.01</v>
      </c>
      <c r="J165" s="63">
        <v>0.01</v>
      </c>
      <c r="K165" s="67">
        <v>0.01</v>
      </c>
    </row>
    <row r="166" spans="1:11" s="23" customFormat="1" ht="15" customHeight="1" x14ac:dyDescent="0.25">
      <c r="A166" s="205"/>
      <c r="B166" s="14">
        <v>3921</v>
      </c>
      <c r="C166" s="74">
        <v>7148343.2199999997</v>
      </c>
      <c r="D166" s="63">
        <v>513725.59</v>
      </c>
      <c r="E166" s="67">
        <v>474.05</v>
      </c>
      <c r="F166" s="74">
        <v>0.06</v>
      </c>
      <c r="G166" s="63">
        <v>0.03</v>
      </c>
      <c r="H166" s="67">
        <v>0.14000000000000001</v>
      </c>
      <c r="I166" s="74">
        <v>-0.04</v>
      </c>
      <c r="J166" s="63">
        <v>-0.04</v>
      </c>
      <c r="K166" s="67">
        <v>-0.23</v>
      </c>
    </row>
    <row r="167" spans="1:11" s="23" customFormat="1" ht="15" customHeight="1" x14ac:dyDescent="0.25">
      <c r="A167" s="205"/>
      <c r="B167" s="14">
        <v>40766</v>
      </c>
      <c r="C167" s="74">
        <v>7148343.2199999997</v>
      </c>
      <c r="D167" s="63">
        <v>513725.59</v>
      </c>
      <c r="E167" s="67">
        <v>474.08</v>
      </c>
      <c r="F167" s="74">
        <v>7.0000000000000007E-2</v>
      </c>
      <c r="G167" s="63">
        <v>0</v>
      </c>
      <c r="H167" s="67">
        <v>0</v>
      </c>
      <c r="I167" s="74">
        <v>-0.01</v>
      </c>
      <c r="J167" s="63">
        <v>0.02</v>
      </c>
      <c r="K167" s="67">
        <v>0.03</v>
      </c>
    </row>
    <row r="168" spans="1:11" s="23" customFormat="1" ht="15" customHeight="1" x14ac:dyDescent="0.25">
      <c r="A168" s="205"/>
      <c r="B168" s="58">
        <v>41127</v>
      </c>
      <c r="C168" s="128">
        <v>7148343.2400000002</v>
      </c>
      <c r="D168" s="129">
        <v>513725.62</v>
      </c>
      <c r="E168" s="130">
        <v>474.04</v>
      </c>
      <c r="F168" s="175">
        <f>F167+G168</f>
        <v>0.10605551299808992</v>
      </c>
      <c r="G168" s="173">
        <f>SQRT(((C168-C167)^2)+((D168-D167)^2))</f>
        <v>3.6055512998089914E-2</v>
      </c>
      <c r="H168" s="174">
        <f>G168/((B168-B167)/365)</f>
        <v>3.6455020067320827E-2</v>
      </c>
      <c r="I168" s="175">
        <f>I167+J168</f>
        <v>-4.9999999999963622E-2</v>
      </c>
      <c r="J168" s="173">
        <f>E168-E167</f>
        <v>-3.999999999996362E-2</v>
      </c>
      <c r="K168" s="174">
        <f>J168/((B168-B167)/365)</f>
        <v>-4.0443213296362107E-2</v>
      </c>
    </row>
    <row r="169" spans="1:11" s="23" customFormat="1" ht="15" customHeight="1" x14ac:dyDescent="0.25">
      <c r="A169" s="206"/>
      <c r="B169" s="15">
        <v>41883</v>
      </c>
      <c r="C169" s="75">
        <v>7148343.2199999997</v>
      </c>
      <c r="D169" s="68">
        <v>513725.62199999997</v>
      </c>
      <c r="E169" s="69">
        <v>474.01900000000001</v>
      </c>
      <c r="F169" s="175">
        <f>F168+G169</f>
        <v>0.12615526472008459</v>
      </c>
      <c r="G169" s="173">
        <f>SQRT(((C169-C168)^2)+((D169-D168)^2))</f>
        <v>2.0099751721994678E-2</v>
      </c>
      <c r="H169" s="174">
        <f>G169/((B169-B168)/365)</f>
        <v>9.7042452096931988E-3</v>
      </c>
      <c r="I169" s="175">
        <f>I168+J169</f>
        <v>-7.0999999999978636E-2</v>
      </c>
      <c r="J169" s="173">
        <f>E169-E168</f>
        <v>-2.1000000000015007E-2</v>
      </c>
      <c r="K169" s="174">
        <f>J169/((B169-B168)/365)</f>
        <v>-1.0138888888896134E-2</v>
      </c>
    </row>
    <row r="170" spans="1:11" s="23" customFormat="1" ht="15" customHeight="1" x14ac:dyDescent="0.25">
      <c r="A170" s="204" t="s">
        <v>13</v>
      </c>
      <c r="B170" s="13" t="s">
        <v>14</v>
      </c>
      <c r="C170" s="73"/>
      <c r="D170" s="65"/>
      <c r="E170" s="66"/>
      <c r="F170" s="73"/>
      <c r="G170" s="65"/>
      <c r="H170" s="66">
        <v>6.5836800000000011</v>
      </c>
      <c r="I170" s="73"/>
      <c r="J170" s="65"/>
      <c r="K170" s="66"/>
    </row>
    <row r="171" spans="1:11" s="23" customFormat="1" ht="15" customHeight="1" x14ac:dyDescent="0.25">
      <c r="A171" s="205"/>
      <c r="B171" s="14" t="s">
        <v>15</v>
      </c>
      <c r="C171" s="74"/>
      <c r="D171" s="63"/>
      <c r="E171" s="67"/>
      <c r="F171" s="74"/>
      <c r="G171" s="63"/>
      <c r="H171" s="67">
        <v>3.3528000000000002</v>
      </c>
      <c r="I171" s="74"/>
      <c r="J171" s="63"/>
      <c r="K171" s="67"/>
    </row>
    <row r="172" spans="1:11" s="23" customFormat="1" ht="15" customHeight="1" x14ac:dyDescent="0.25">
      <c r="A172" s="205"/>
      <c r="B172" s="14" t="s">
        <v>16</v>
      </c>
      <c r="C172" s="74"/>
      <c r="D172" s="63"/>
      <c r="E172" s="67"/>
      <c r="F172" s="74"/>
      <c r="G172" s="63"/>
      <c r="H172" s="67">
        <v>4.6939200000000003</v>
      </c>
      <c r="I172" s="74"/>
      <c r="J172" s="63"/>
      <c r="K172" s="67"/>
    </row>
    <row r="173" spans="1:11" s="23" customFormat="1" ht="15" customHeight="1" x14ac:dyDescent="0.25">
      <c r="A173" s="205"/>
      <c r="B173" s="14" t="s">
        <v>17</v>
      </c>
      <c r="C173" s="74"/>
      <c r="D173" s="63"/>
      <c r="E173" s="67"/>
      <c r="F173" s="74"/>
      <c r="G173" s="63"/>
      <c r="H173" s="67">
        <v>5.0292000000000003</v>
      </c>
      <c r="I173" s="74"/>
      <c r="J173" s="63"/>
      <c r="K173" s="67"/>
    </row>
    <row r="174" spans="1:11" s="23" customFormat="1" ht="15" customHeight="1" x14ac:dyDescent="0.25">
      <c r="A174" s="205"/>
      <c r="B174" s="14" t="s">
        <v>18</v>
      </c>
      <c r="C174" s="74"/>
      <c r="D174" s="63"/>
      <c r="E174" s="67"/>
      <c r="F174" s="74"/>
      <c r="G174" s="63"/>
      <c r="H174" s="67">
        <v>9.3573599999999999</v>
      </c>
      <c r="I174" s="74"/>
      <c r="J174" s="63"/>
      <c r="K174" s="67">
        <v>-2.6212800000000001</v>
      </c>
    </row>
    <row r="175" spans="1:11" s="23" customFormat="1" ht="15" customHeight="1" x14ac:dyDescent="0.25">
      <c r="A175" s="205"/>
      <c r="B175" s="14" t="s">
        <v>19</v>
      </c>
      <c r="C175" s="74"/>
      <c r="D175" s="63"/>
      <c r="E175" s="67"/>
      <c r="F175" s="74"/>
      <c r="G175" s="63"/>
      <c r="H175" s="67">
        <v>10.820400000000001</v>
      </c>
      <c r="I175" s="74"/>
      <c r="J175" s="63"/>
      <c r="K175" s="67">
        <v>-3.0784799999999999</v>
      </c>
    </row>
    <row r="176" spans="1:11" s="23" customFormat="1" ht="15" customHeight="1" x14ac:dyDescent="0.25">
      <c r="A176" s="205"/>
      <c r="B176" s="14">
        <v>29799</v>
      </c>
      <c r="C176" s="74"/>
      <c r="D176" s="63"/>
      <c r="E176" s="67"/>
      <c r="F176" s="74"/>
      <c r="G176" s="63"/>
      <c r="H176" s="67">
        <v>17.556480000000001</v>
      </c>
      <c r="I176" s="74"/>
      <c r="J176" s="63"/>
      <c r="K176" s="67">
        <v>-8.0040480000000009</v>
      </c>
    </row>
    <row r="177" spans="1:11" s="23" customFormat="1" ht="15" customHeight="1" x14ac:dyDescent="0.25">
      <c r="A177" s="205"/>
      <c r="B177" s="14">
        <v>30103</v>
      </c>
      <c r="C177" s="85"/>
      <c r="D177" s="86"/>
      <c r="E177" s="87"/>
      <c r="F177" s="85"/>
      <c r="G177" s="86"/>
      <c r="H177" s="87"/>
      <c r="I177" s="85"/>
      <c r="J177" s="86"/>
      <c r="K177" s="87"/>
    </row>
    <row r="178" spans="1:11" s="23" customFormat="1" ht="15" customHeight="1" x14ac:dyDescent="0.25">
      <c r="A178" s="205"/>
      <c r="B178" s="14">
        <v>30468</v>
      </c>
      <c r="C178" s="85">
        <f>114497.27*0.3048</f>
        <v>34898.767896000005</v>
      </c>
      <c r="D178" s="86">
        <f>109117.63*0.3048</f>
        <v>33259.053624</v>
      </c>
      <c r="E178" s="87">
        <v>476.32620000000003</v>
      </c>
      <c r="F178" s="85"/>
      <c r="G178" s="86"/>
      <c r="H178" s="87">
        <v>22.667976000000003</v>
      </c>
      <c r="I178" s="85"/>
      <c r="J178" s="86"/>
      <c r="K178" s="87">
        <v>-16.626840000000001</v>
      </c>
    </row>
    <row r="179" spans="1:11" s="23" customFormat="1" ht="15" customHeight="1" x14ac:dyDescent="0.25">
      <c r="A179" s="205"/>
      <c r="B179" s="14">
        <v>30560</v>
      </c>
      <c r="C179" s="85">
        <f>114497.95*0.3048</f>
        <v>34898.975160000002</v>
      </c>
      <c r="D179" s="86">
        <f>109144.84*0.3048</f>
        <v>33267.347232</v>
      </c>
      <c r="E179" s="87">
        <v>472.47352799999999</v>
      </c>
      <c r="F179" s="85"/>
      <c r="G179" s="86"/>
      <c r="H179" s="87">
        <v>28.568904000000003</v>
      </c>
      <c r="I179" s="85"/>
      <c r="J179" s="86"/>
      <c r="K179" s="87">
        <v>-13.264896000000002</v>
      </c>
    </row>
    <row r="180" spans="1:11" x14ac:dyDescent="0.25">
      <c r="A180" s="205"/>
      <c r="B180" s="14">
        <v>30834</v>
      </c>
      <c r="C180" s="85"/>
      <c r="D180" s="86"/>
      <c r="E180" s="87"/>
      <c r="F180" s="85"/>
      <c r="G180" s="86"/>
      <c r="H180" s="87">
        <v>17.821656000000001</v>
      </c>
      <c r="I180" s="85"/>
      <c r="J180" s="86"/>
      <c r="K180" s="87">
        <v>-8.9336880000000001</v>
      </c>
    </row>
    <row r="181" spans="1:11" x14ac:dyDescent="0.25">
      <c r="A181" s="205"/>
      <c r="B181" s="14">
        <v>31199</v>
      </c>
      <c r="C181" s="85"/>
      <c r="D181" s="86"/>
      <c r="E181" s="87"/>
      <c r="F181" s="85"/>
      <c r="G181" s="86"/>
      <c r="H181" s="87">
        <v>17.861280000000001</v>
      </c>
      <c r="I181" s="85"/>
      <c r="J181" s="86"/>
      <c r="K181" s="87">
        <v>-7.8821279999999998</v>
      </c>
    </row>
    <row r="182" spans="1:11" x14ac:dyDescent="0.25">
      <c r="A182" s="205"/>
      <c r="B182" s="14">
        <v>31594</v>
      </c>
      <c r="C182" s="85">
        <f>114494.88*0.3048</f>
        <v>34898.039424000002</v>
      </c>
      <c r="D182" s="86">
        <f>109307.7*0.3048</f>
        <v>33316.986960000002</v>
      </c>
      <c r="E182" s="87">
        <v>450.89978400000001</v>
      </c>
      <c r="F182" s="85"/>
      <c r="G182" s="86"/>
      <c r="H182" s="87">
        <v>18.925032000000002</v>
      </c>
      <c r="I182" s="85"/>
      <c r="J182" s="86"/>
      <c r="K182" s="87">
        <v>-7.0530720000000002</v>
      </c>
    </row>
    <row r="183" spans="1:11" x14ac:dyDescent="0.25">
      <c r="A183" s="205"/>
      <c r="B183" s="14">
        <v>1329</v>
      </c>
      <c r="C183" s="74">
        <v>7148344.3600000003</v>
      </c>
      <c r="D183" s="63">
        <v>513842.07</v>
      </c>
      <c r="E183" s="67">
        <v>438.14</v>
      </c>
      <c r="F183" s="74"/>
      <c r="G183" s="64"/>
      <c r="H183" s="67">
        <v>3.49</v>
      </c>
      <c r="I183" s="74"/>
      <c r="J183" s="64"/>
      <c r="K183" s="72">
        <v>-1.4</v>
      </c>
    </row>
    <row r="184" spans="1:11" x14ac:dyDescent="0.25">
      <c r="A184" s="205"/>
      <c r="B184" s="14">
        <v>1671</v>
      </c>
      <c r="C184" s="74">
        <v>7148344.3600000003</v>
      </c>
      <c r="D184" s="63">
        <v>513842.27</v>
      </c>
      <c r="E184" s="67">
        <v>438.06</v>
      </c>
      <c r="F184" s="74">
        <v>0.2</v>
      </c>
      <c r="G184" s="63">
        <v>0.2</v>
      </c>
      <c r="H184" s="67">
        <v>0.21</v>
      </c>
      <c r="I184" s="74">
        <v>-0.08</v>
      </c>
      <c r="J184" s="63">
        <v>-0.08</v>
      </c>
      <c r="K184" s="67">
        <v>-0.08</v>
      </c>
    </row>
    <row r="185" spans="1:11" x14ac:dyDescent="0.25">
      <c r="A185" s="205"/>
      <c r="B185" s="14">
        <v>1728</v>
      </c>
      <c r="C185" s="74">
        <v>7148344.3700000001</v>
      </c>
      <c r="D185" s="63">
        <v>513842.26</v>
      </c>
      <c r="E185" s="67">
        <v>438.05</v>
      </c>
      <c r="F185" s="74">
        <v>0.19</v>
      </c>
      <c r="G185" s="63">
        <v>0.02</v>
      </c>
      <c r="H185" s="67">
        <v>0.1</v>
      </c>
      <c r="I185" s="74">
        <v>-0.09</v>
      </c>
      <c r="J185" s="63">
        <v>-0.01</v>
      </c>
      <c r="K185" s="67">
        <v>-0.08</v>
      </c>
    </row>
    <row r="186" spans="1:11" x14ac:dyDescent="0.25">
      <c r="A186" s="205"/>
      <c r="B186" s="14">
        <v>2087</v>
      </c>
      <c r="C186" s="74">
        <v>7148344.3700000001</v>
      </c>
      <c r="D186" s="63">
        <v>513842.43</v>
      </c>
      <c r="E186" s="67">
        <v>438</v>
      </c>
      <c r="F186" s="74">
        <v>0.36</v>
      </c>
      <c r="G186" s="63">
        <v>0.17</v>
      </c>
      <c r="H186" s="67">
        <v>0.18</v>
      </c>
      <c r="I186" s="74">
        <v>-0.14000000000000001</v>
      </c>
      <c r="J186" s="63">
        <v>-0.05</v>
      </c>
      <c r="K186" s="67">
        <v>-0.05</v>
      </c>
    </row>
    <row r="187" spans="1:11" x14ac:dyDescent="0.25">
      <c r="A187" s="205"/>
      <c r="B187" s="14">
        <v>2401</v>
      </c>
      <c r="C187" s="74">
        <v>7148344.3899999997</v>
      </c>
      <c r="D187" s="63">
        <v>513842.53</v>
      </c>
      <c r="E187" s="67">
        <v>438.02</v>
      </c>
      <c r="F187" s="74">
        <v>0.46</v>
      </c>
      <c r="G187" s="63">
        <v>0.1</v>
      </c>
      <c r="H187" s="67">
        <v>0.11</v>
      </c>
      <c r="I187" s="74">
        <v>-0.12</v>
      </c>
      <c r="J187" s="63">
        <v>0.03</v>
      </c>
      <c r="K187" s="67">
        <v>0.03</v>
      </c>
    </row>
    <row r="188" spans="1:11" x14ac:dyDescent="0.25">
      <c r="A188" s="205"/>
      <c r="B188" s="14">
        <v>3113</v>
      </c>
      <c r="C188" s="74">
        <v>7148344.4100000001</v>
      </c>
      <c r="D188" s="63">
        <v>513842.7</v>
      </c>
      <c r="E188" s="67">
        <v>437.96</v>
      </c>
      <c r="F188" s="74">
        <v>0.64</v>
      </c>
      <c r="G188" s="63">
        <v>0.18</v>
      </c>
      <c r="H188" s="67">
        <v>0.09</v>
      </c>
      <c r="I188" s="74">
        <v>-0.18</v>
      </c>
      <c r="J188" s="63">
        <v>-7.0000000000000007E-2</v>
      </c>
      <c r="K188" s="67">
        <v>-0.03</v>
      </c>
    </row>
    <row r="189" spans="1:11" x14ac:dyDescent="0.25">
      <c r="A189" s="205"/>
      <c r="B189" s="14">
        <v>3854</v>
      </c>
      <c r="C189" s="74">
        <v>7148344.4000000004</v>
      </c>
      <c r="D189" s="63">
        <v>513842.82</v>
      </c>
      <c r="E189" s="67">
        <v>437.91</v>
      </c>
      <c r="F189" s="74">
        <v>0.75</v>
      </c>
      <c r="G189" s="63">
        <v>0.12</v>
      </c>
      <c r="H189" s="67">
        <v>0.06</v>
      </c>
      <c r="I189" s="74">
        <v>-0.23</v>
      </c>
      <c r="J189" s="63">
        <v>-0.05</v>
      </c>
      <c r="K189" s="67">
        <v>-0.02</v>
      </c>
    </row>
    <row r="190" spans="1:11" x14ac:dyDescent="0.25">
      <c r="A190" s="205"/>
      <c r="B190" s="14">
        <v>3921</v>
      </c>
      <c r="C190" s="74">
        <v>7148344.4000000004</v>
      </c>
      <c r="D190" s="63">
        <v>513842.86</v>
      </c>
      <c r="E190" s="67">
        <v>437.87</v>
      </c>
      <c r="F190" s="74">
        <v>0.79</v>
      </c>
      <c r="G190" s="63">
        <v>0.04</v>
      </c>
      <c r="H190" s="67">
        <v>0.22</v>
      </c>
      <c r="I190" s="74">
        <v>-0.27</v>
      </c>
      <c r="J190" s="63">
        <v>-0.04</v>
      </c>
      <c r="K190" s="67">
        <v>-0.21</v>
      </c>
    </row>
    <row r="191" spans="1:11" x14ac:dyDescent="0.25">
      <c r="A191" s="205"/>
      <c r="B191" s="14">
        <v>40766</v>
      </c>
      <c r="C191" s="74">
        <v>7148344.4000000004</v>
      </c>
      <c r="D191" s="63">
        <v>513842.91</v>
      </c>
      <c r="E191" s="67">
        <v>437.87</v>
      </c>
      <c r="F191" s="74">
        <v>0.84</v>
      </c>
      <c r="G191" s="63">
        <v>0.05</v>
      </c>
      <c r="H191" s="67">
        <v>0.05</v>
      </c>
      <c r="I191" s="74">
        <v>-0.27</v>
      </c>
      <c r="J191" s="63">
        <v>0</v>
      </c>
      <c r="K191" s="67">
        <v>0</v>
      </c>
    </row>
    <row r="192" spans="1:11" x14ac:dyDescent="0.25">
      <c r="A192" s="205"/>
      <c r="B192" s="58">
        <v>41127</v>
      </c>
      <c r="C192" s="128">
        <v>7148344.4199999999</v>
      </c>
      <c r="D192" s="129">
        <v>513842.96</v>
      </c>
      <c r="E192" s="130">
        <v>437.81</v>
      </c>
      <c r="F192" s="175">
        <f>F191+G192</f>
        <v>0.89385164794855598</v>
      </c>
      <c r="G192" s="173">
        <f>SQRT(((C192-C191)^2)+((D192-D191)^2))</f>
        <v>5.3851647948556035E-2</v>
      </c>
      <c r="H192" s="174">
        <f>G192/((B192-B191)/365)</f>
        <v>5.4448342108650835E-2</v>
      </c>
      <c r="I192" s="175">
        <f>I191+J192</f>
        <v>-0.33000000000000229</v>
      </c>
      <c r="J192" s="173">
        <f>E192-E191</f>
        <v>-6.0000000000002274E-2</v>
      </c>
      <c r="K192" s="174">
        <f>J192/((B192-B191)/365)</f>
        <v>-6.0664819944600636E-2</v>
      </c>
    </row>
    <row r="193" spans="1:11" x14ac:dyDescent="0.25">
      <c r="A193" s="206"/>
      <c r="B193" s="15">
        <v>41883</v>
      </c>
      <c r="C193" s="75">
        <v>7148344.432</v>
      </c>
      <c r="D193" s="68">
        <v>513843.03200000001</v>
      </c>
      <c r="E193" s="69">
        <v>437.77600000000001</v>
      </c>
      <c r="F193" s="175">
        <f>F192+G193</f>
        <v>0.96684479831504366</v>
      </c>
      <c r="G193" s="173">
        <f>SQRT(((C193-C192)^2)+((D193-D192)^2))</f>
        <v>7.2993150366487694E-2</v>
      </c>
      <c r="H193" s="174">
        <f>G193/((B193-B192)/365)</f>
        <v>3.5241401962656099E-2</v>
      </c>
      <c r="I193" s="175">
        <f>I192+J193</f>
        <v>-0.36399999999999411</v>
      </c>
      <c r="J193" s="173">
        <f>E193-E192</f>
        <v>-3.3999999999991815E-2</v>
      </c>
      <c r="K193" s="174">
        <f>J193/((B193-B192)/365)</f>
        <v>-1.6415343915339962E-2</v>
      </c>
    </row>
    <row r="194" spans="1:11" x14ac:dyDescent="0.25">
      <c r="A194" s="201">
        <v>1491</v>
      </c>
      <c r="B194" s="13">
        <v>1329</v>
      </c>
      <c r="C194" s="121">
        <v>7148376.8300000001</v>
      </c>
      <c r="D194" s="122">
        <v>513868.79</v>
      </c>
      <c r="E194" s="123">
        <v>432.49</v>
      </c>
      <c r="F194" s="121"/>
      <c r="G194" s="122"/>
      <c r="H194" s="123"/>
      <c r="I194" s="121"/>
      <c r="J194" s="122"/>
      <c r="K194" s="123"/>
    </row>
    <row r="195" spans="1:11" x14ac:dyDescent="0.25">
      <c r="A195" s="202"/>
      <c r="B195" s="14">
        <v>1671</v>
      </c>
      <c r="C195" s="85">
        <v>7148376.8200000003</v>
      </c>
      <c r="D195" s="86">
        <v>513869</v>
      </c>
      <c r="E195" s="87">
        <v>432.34</v>
      </c>
      <c r="F195" s="85">
        <v>0.21</v>
      </c>
      <c r="G195" s="86">
        <v>0.21</v>
      </c>
      <c r="H195" s="87">
        <v>0.22</v>
      </c>
      <c r="I195" s="85">
        <v>-0.15</v>
      </c>
      <c r="J195" s="86">
        <v>-0.15</v>
      </c>
      <c r="K195" s="87">
        <v>-0.16</v>
      </c>
    </row>
    <row r="196" spans="1:11" x14ac:dyDescent="0.25">
      <c r="A196" s="202"/>
      <c r="B196" s="14">
        <v>1728</v>
      </c>
      <c r="C196" s="85">
        <v>7148376.8200000003</v>
      </c>
      <c r="D196" s="86">
        <v>513868.99</v>
      </c>
      <c r="E196" s="87">
        <v>432.32</v>
      </c>
      <c r="F196" s="85">
        <v>0.2</v>
      </c>
      <c r="G196" s="86">
        <v>0.01</v>
      </c>
      <c r="H196" s="87">
        <v>0.05</v>
      </c>
      <c r="I196" s="85">
        <v>-0.17</v>
      </c>
      <c r="J196" s="86">
        <v>-0.02</v>
      </c>
      <c r="K196" s="87">
        <v>-0.13</v>
      </c>
    </row>
    <row r="197" spans="1:11" x14ac:dyDescent="0.25">
      <c r="A197" s="202"/>
      <c r="B197" s="14">
        <v>2087</v>
      </c>
      <c r="C197" s="85">
        <v>7148376.8499999996</v>
      </c>
      <c r="D197" s="86">
        <v>513869.15</v>
      </c>
      <c r="E197" s="87">
        <v>432.27</v>
      </c>
      <c r="F197" s="85">
        <v>0.36</v>
      </c>
      <c r="G197" s="86">
        <v>0.17</v>
      </c>
      <c r="H197" s="87">
        <v>0.17</v>
      </c>
      <c r="I197" s="85">
        <v>-0.22</v>
      </c>
      <c r="J197" s="86">
        <v>-0.05</v>
      </c>
      <c r="K197" s="87">
        <v>-0.05</v>
      </c>
    </row>
    <row r="198" spans="1:11" x14ac:dyDescent="0.25">
      <c r="A198" s="202"/>
      <c r="B198" s="14">
        <v>2401</v>
      </c>
      <c r="C198" s="85">
        <v>7148376.9000000004</v>
      </c>
      <c r="D198" s="86">
        <v>513869.24</v>
      </c>
      <c r="E198" s="87">
        <v>432.34</v>
      </c>
      <c r="F198" s="85">
        <v>0.45</v>
      </c>
      <c r="G198" s="86">
        <v>0.09</v>
      </c>
      <c r="H198" s="87">
        <v>0.11</v>
      </c>
      <c r="I198" s="85">
        <v>-0.15</v>
      </c>
      <c r="J198" s="86">
        <v>7.0000000000000007E-2</v>
      </c>
      <c r="K198" s="87">
        <v>-0.08</v>
      </c>
    </row>
    <row r="199" spans="1:11" x14ac:dyDescent="0.25">
      <c r="A199" s="202"/>
      <c r="B199" s="14">
        <v>3113</v>
      </c>
      <c r="C199" s="85">
        <v>7148376.96</v>
      </c>
      <c r="D199" s="86">
        <v>513869.39</v>
      </c>
      <c r="E199" s="87">
        <v>432.28</v>
      </c>
      <c r="F199" s="85">
        <v>0.62</v>
      </c>
      <c r="G199" s="86">
        <v>0.17</v>
      </c>
      <c r="H199" s="87">
        <v>0.09</v>
      </c>
      <c r="I199" s="85">
        <v>-0.21</v>
      </c>
      <c r="J199" s="86">
        <v>-0.06</v>
      </c>
      <c r="K199" s="87">
        <v>-0.03</v>
      </c>
    </row>
    <row r="200" spans="1:11" x14ac:dyDescent="0.25">
      <c r="A200" s="202"/>
      <c r="B200" s="14">
        <v>3854</v>
      </c>
      <c r="C200" s="85">
        <v>7148376.9199999999</v>
      </c>
      <c r="D200" s="86">
        <v>513869.51</v>
      </c>
      <c r="E200" s="87">
        <v>432.21</v>
      </c>
      <c r="F200" s="85">
        <v>0.72</v>
      </c>
      <c r="G200" s="86">
        <v>0.12</v>
      </c>
      <c r="H200" s="87">
        <v>0.06</v>
      </c>
      <c r="I200" s="85">
        <v>-0.28999999999999998</v>
      </c>
      <c r="J200" s="86">
        <v>-7.0000000000000007E-2</v>
      </c>
      <c r="K200" s="87">
        <v>-0.04</v>
      </c>
    </row>
    <row r="201" spans="1:11" x14ac:dyDescent="0.25">
      <c r="A201" s="202"/>
      <c r="B201" s="14">
        <v>3921</v>
      </c>
      <c r="C201" s="85">
        <v>7148376.9400000004</v>
      </c>
      <c r="D201" s="86">
        <v>513869.71</v>
      </c>
      <c r="E201" s="87">
        <v>432.1</v>
      </c>
      <c r="F201" s="85">
        <v>0.92</v>
      </c>
      <c r="G201" s="86">
        <v>0.2</v>
      </c>
      <c r="H201" s="87">
        <v>1.1000000000000001</v>
      </c>
      <c r="I201" s="85">
        <v>-0.39</v>
      </c>
      <c r="J201" s="86">
        <v>-0.1</v>
      </c>
      <c r="K201" s="87">
        <v>-0.56999999999999995</v>
      </c>
    </row>
    <row r="202" spans="1:11" x14ac:dyDescent="0.25">
      <c r="A202" s="202"/>
      <c r="B202" s="14">
        <v>40766</v>
      </c>
      <c r="C202" s="85">
        <v>7148376.96</v>
      </c>
      <c r="D202" s="86">
        <v>513869.76</v>
      </c>
      <c r="E202" s="87">
        <v>432.1</v>
      </c>
      <c r="F202" s="85">
        <v>0.98</v>
      </c>
      <c r="G202" s="86">
        <v>0.06</v>
      </c>
      <c r="H202" s="87">
        <v>0.06</v>
      </c>
      <c r="I202" s="85">
        <v>-0.39</v>
      </c>
      <c r="J202" s="86">
        <v>0</v>
      </c>
      <c r="K202" s="87">
        <v>0</v>
      </c>
    </row>
    <row r="203" spans="1:11" x14ac:dyDescent="0.25">
      <c r="A203" s="202"/>
      <c r="B203" s="58">
        <v>41127</v>
      </c>
      <c r="C203" s="131">
        <v>7148376.96</v>
      </c>
      <c r="D203" s="132">
        <v>513869.82</v>
      </c>
      <c r="E203" s="133">
        <v>432.04</v>
      </c>
      <c r="F203" s="175">
        <f>F202+G203</f>
        <v>1.0399999999976717</v>
      </c>
      <c r="G203" s="173">
        <f>SQRT(((C203-C202)^2)+((D203-D202)^2))</f>
        <v>5.9999999997671694E-2</v>
      </c>
      <c r="H203" s="174">
        <f>G203/((B203-B202)/365)</f>
        <v>6.0664819942244229E-2</v>
      </c>
      <c r="I203" s="175">
        <f>I202+J203</f>
        <v>-0.45000000000000229</v>
      </c>
      <c r="J203" s="173">
        <f>E203-E202</f>
        <v>-6.0000000000002274E-2</v>
      </c>
      <c r="K203" s="174">
        <f>J203/((B203-B202)/365)</f>
        <v>-6.0664819944600636E-2</v>
      </c>
    </row>
    <row r="204" spans="1:11" x14ac:dyDescent="0.25">
      <c r="A204" s="203"/>
      <c r="B204" s="15">
        <v>41883</v>
      </c>
      <c r="C204" s="118">
        <v>7148377.0020000003</v>
      </c>
      <c r="D204" s="119">
        <v>513869.89500000002</v>
      </c>
      <c r="E204" s="120">
        <v>431.98</v>
      </c>
      <c r="F204" s="176">
        <f>F203+G204</f>
        <v>1.1259592928775739</v>
      </c>
      <c r="G204" s="177">
        <f>SQRT(((C204-C203)^2)+((D204-D203)^2))</f>
        <v>8.5959292879902283E-2</v>
      </c>
      <c r="H204" s="178">
        <f>G204/((B204-B203)/365)</f>
        <v>4.1501510451275578E-2</v>
      </c>
      <c r="I204" s="176">
        <f>I203+J204</f>
        <v>-0.51000000000000456</v>
      </c>
      <c r="J204" s="177">
        <f>E204-E203</f>
        <v>-6.0000000000002274E-2</v>
      </c>
      <c r="K204" s="178">
        <f>J204/((B204-B203)/365)</f>
        <v>-2.8968253968255066E-2</v>
      </c>
    </row>
  </sheetData>
  <mergeCells count="16">
    <mergeCell ref="A1:K1"/>
    <mergeCell ref="A2:A3"/>
    <mergeCell ref="B2:B3"/>
    <mergeCell ref="C2:E2"/>
    <mergeCell ref="F2:H2"/>
    <mergeCell ref="I2:K2"/>
    <mergeCell ref="A125:A145"/>
    <mergeCell ref="A146:A169"/>
    <mergeCell ref="A170:A193"/>
    <mergeCell ref="A194:A204"/>
    <mergeCell ref="A4:A23"/>
    <mergeCell ref="A24:A41"/>
    <mergeCell ref="A42:A52"/>
    <mergeCell ref="A53:A76"/>
    <mergeCell ref="A77:A100"/>
    <mergeCell ref="A101:A124"/>
  </mergeCells>
  <pageMargins left="1.25" right="1.25" top="1" bottom="0.74583333333333302" header="0.25" footer="0.25"/>
  <pageSetup scale="66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0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:K3"/>
    </sheetView>
  </sheetViews>
  <sheetFormatPr defaultRowHeight="15" x14ac:dyDescent="0.25"/>
  <cols>
    <col min="1" max="11" width="14.85546875" style="7" customWidth="1"/>
    <col min="12" max="16384" width="9.140625" style="7"/>
  </cols>
  <sheetData>
    <row r="1" spans="1:12" x14ac:dyDescent="0.25">
      <c r="A1" s="186" t="s">
        <v>76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</row>
    <row r="2" spans="1:12" x14ac:dyDescent="0.25">
      <c r="A2" s="191" t="s">
        <v>4</v>
      </c>
      <c r="B2" s="185" t="s">
        <v>6</v>
      </c>
      <c r="C2" s="189" t="s">
        <v>5</v>
      </c>
      <c r="D2" s="189"/>
      <c r="E2" s="189"/>
      <c r="F2" s="189" t="s">
        <v>0</v>
      </c>
      <c r="G2" s="189"/>
      <c r="H2" s="189"/>
      <c r="I2" s="189" t="s">
        <v>1</v>
      </c>
      <c r="J2" s="189"/>
      <c r="K2" s="189"/>
    </row>
    <row r="3" spans="1:12" ht="30" x14ac:dyDescent="0.25">
      <c r="A3" s="210"/>
      <c r="B3" s="185"/>
      <c r="C3" s="6" t="s">
        <v>29</v>
      </c>
      <c r="D3" s="171" t="s">
        <v>27</v>
      </c>
      <c r="E3" s="6" t="s">
        <v>26</v>
      </c>
      <c r="F3" s="6" t="s">
        <v>7</v>
      </c>
      <c r="G3" s="6" t="s">
        <v>3</v>
      </c>
      <c r="H3" s="6" t="s">
        <v>2</v>
      </c>
      <c r="I3" s="6" t="s">
        <v>7</v>
      </c>
      <c r="J3" s="6" t="s">
        <v>3</v>
      </c>
      <c r="K3" s="6" t="s">
        <v>2</v>
      </c>
      <c r="L3" s="8"/>
    </row>
    <row r="4" spans="1:12" x14ac:dyDescent="0.25">
      <c r="A4" s="198" t="s">
        <v>30</v>
      </c>
      <c r="B4" s="13" t="s">
        <v>18</v>
      </c>
      <c r="C4" s="25"/>
      <c r="D4" s="48"/>
      <c r="E4" s="27"/>
      <c r="F4" s="25"/>
      <c r="G4" s="26"/>
      <c r="H4" s="27">
        <v>10.454639999999999</v>
      </c>
      <c r="I4" s="25"/>
      <c r="J4" s="26"/>
      <c r="K4" s="27">
        <v>-3.99288</v>
      </c>
      <c r="L4" s="8"/>
    </row>
    <row r="5" spans="1:12" x14ac:dyDescent="0.25">
      <c r="A5" s="199"/>
      <c r="B5" s="14" t="s">
        <v>19</v>
      </c>
      <c r="C5" s="29"/>
      <c r="D5" s="49"/>
      <c r="E5" s="31"/>
      <c r="F5" s="29"/>
      <c r="G5" s="30"/>
      <c r="H5" s="31">
        <v>11.82624</v>
      </c>
      <c r="I5" s="29"/>
      <c r="J5" s="30"/>
      <c r="K5" s="31">
        <v>-4.6939200000000003</v>
      </c>
      <c r="L5" s="8"/>
    </row>
    <row r="6" spans="1:12" x14ac:dyDescent="0.25">
      <c r="A6" s="199"/>
      <c r="B6" s="14">
        <v>29799</v>
      </c>
      <c r="C6" s="29"/>
      <c r="D6" s="49"/>
      <c r="E6" s="31"/>
      <c r="F6" s="29"/>
      <c r="G6" s="30"/>
      <c r="H6" s="31">
        <v>17.952719999999999</v>
      </c>
      <c r="I6" s="29"/>
      <c r="J6" s="30"/>
      <c r="K6" s="31">
        <v>-6.9921120000000005</v>
      </c>
      <c r="L6" s="8"/>
    </row>
    <row r="7" spans="1:12" x14ac:dyDescent="0.25">
      <c r="A7" s="199"/>
      <c r="B7" s="14">
        <v>30103</v>
      </c>
      <c r="C7" s="59"/>
      <c r="D7" s="50"/>
      <c r="E7" s="52"/>
      <c r="F7" s="59"/>
      <c r="G7" s="50"/>
      <c r="H7" s="52">
        <v>21.640800000000002</v>
      </c>
      <c r="I7" s="29"/>
      <c r="J7" s="30"/>
      <c r="K7" s="31">
        <v>-11.512296000000001</v>
      </c>
      <c r="L7" s="8"/>
    </row>
    <row r="8" spans="1:12" x14ac:dyDescent="0.25">
      <c r="A8" s="199"/>
      <c r="B8" s="14">
        <v>30468</v>
      </c>
      <c r="C8" s="59">
        <f>114497.12*0.3048</f>
        <v>34898.722176000003</v>
      </c>
      <c r="D8" s="50">
        <f>109283.05*0.3048</f>
        <v>33309.473640000004</v>
      </c>
      <c r="E8" s="52">
        <v>455.41082400000005</v>
      </c>
      <c r="F8" s="59"/>
      <c r="G8" s="50"/>
      <c r="H8" s="52">
        <v>31.476696</v>
      </c>
      <c r="I8" s="29"/>
      <c r="J8" s="30"/>
      <c r="K8" s="31">
        <v>-13.094208</v>
      </c>
      <c r="L8" s="8"/>
    </row>
    <row r="9" spans="1:12" x14ac:dyDescent="0.25">
      <c r="A9" s="199"/>
      <c r="B9" s="14">
        <v>30560</v>
      </c>
      <c r="C9" s="59">
        <f>114499.24*0.3048</f>
        <v>34899.368352000005</v>
      </c>
      <c r="D9" s="50">
        <f>109310.41*0.3048</f>
        <v>33317.812968000006</v>
      </c>
      <c r="E9" s="52">
        <v>452.29881600000004</v>
      </c>
      <c r="F9" s="59"/>
      <c r="G9" s="50"/>
      <c r="H9" s="52">
        <v>28.800552</v>
      </c>
      <c r="I9" s="29"/>
      <c r="J9" s="30"/>
      <c r="K9" s="31">
        <v>-10.716768</v>
      </c>
      <c r="L9" s="8"/>
    </row>
    <row r="10" spans="1:12" x14ac:dyDescent="0.25">
      <c r="A10" s="199"/>
      <c r="B10" s="14">
        <v>30834</v>
      </c>
      <c r="C10" s="29"/>
      <c r="D10" s="49"/>
      <c r="E10" s="31"/>
      <c r="F10" s="29"/>
      <c r="G10" s="30"/>
      <c r="H10" s="31">
        <v>18.251424</v>
      </c>
      <c r="I10" s="29"/>
      <c r="J10" s="30"/>
      <c r="K10" s="31">
        <v>-7.5438000000000001</v>
      </c>
      <c r="L10" s="8"/>
    </row>
    <row r="11" spans="1:12" x14ac:dyDescent="0.25">
      <c r="A11" s="199"/>
      <c r="B11" s="14">
        <v>31199</v>
      </c>
      <c r="C11" s="29"/>
      <c r="D11" s="49"/>
      <c r="E11" s="31"/>
      <c r="F11" s="29"/>
      <c r="G11" s="30"/>
      <c r="H11" s="31">
        <v>17.053560000000001</v>
      </c>
      <c r="I11" s="29"/>
      <c r="J11" s="30"/>
      <c r="K11" s="31">
        <v>-7.0134480000000012</v>
      </c>
      <c r="L11" s="8"/>
    </row>
    <row r="12" spans="1:12" ht="15" customHeight="1" x14ac:dyDescent="0.25">
      <c r="A12" s="199"/>
      <c r="B12" s="14">
        <v>31594</v>
      </c>
      <c r="C12" s="29">
        <f>114501.57*0.3048</f>
        <v>34900.078536000001</v>
      </c>
      <c r="D12" s="30">
        <f>109460.25*0.3048</f>
        <v>33363.484199999999</v>
      </c>
      <c r="E12" s="31">
        <v>434.62041600000003</v>
      </c>
      <c r="F12" s="29"/>
      <c r="G12" s="30"/>
      <c r="H12" s="31">
        <v>15.407640000000001</v>
      </c>
      <c r="I12" s="29"/>
      <c r="J12" s="30"/>
      <c r="K12" s="31">
        <v>-5.1876959999999999</v>
      </c>
      <c r="L12" s="8"/>
    </row>
    <row r="13" spans="1:12" ht="15" customHeight="1" x14ac:dyDescent="0.25">
      <c r="A13" s="199"/>
      <c r="B13" s="14">
        <v>1329</v>
      </c>
      <c r="C13" s="29">
        <v>7148344.0099999998</v>
      </c>
      <c r="D13" s="30">
        <v>513890.73</v>
      </c>
      <c r="E13" s="31">
        <v>422.54</v>
      </c>
      <c r="F13" s="29"/>
      <c r="G13" s="51"/>
      <c r="H13" s="31">
        <v>3.38</v>
      </c>
      <c r="I13" s="29"/>
      <c r="J13" s="51"/>
      <c r="K13" s="31">
        <v>-1.22</v>
      </c>
      <c r="L13" s="8"/>
    </row>
    <row r="14" spans="1:12" ht="15" customHeight="1" x14ac:dyDescent="0.25">
      <c r="A14" s="199"/>
      <c r="B14" s="14">
        <v>1671</v>
      </c>
      <c r="C14" s="29">
        <v>7148344</v>
      </c>
      <c r="D14" s="30">
        <v>513890.89</v>
      </c>
      <c r="E14" s="31">
        <v>422.43</v>
      </c>
      <c r="F14" s="29"/>
      <c r="G14" s="30"/>
      <c r="H14" s="31"/>
      <c r="I14" s="29"/>
      <c r="J14" s="30"/>
      <c r="K14" s="31"/>
      <c r="L14" s="8"/>
    </row>
    <row r="15" spans="1:12" ht="15" customHeight="1" x14ac:dyDescent="0.25">
      <c r="A15" s="199"/>
      <c r="B15" s="14">
        <v>1728</v>
      </c>
      <c r="C15" s="29">
        <v>7148344.0099999998</v>
      </c>
      <c r="D15" s="30">
        <v>513890.89</v>
      </c>
      <c r="E15" s="31">
        <v>422.4</v>
      </c>
      <c r="F15" s="29">
        <v>0.16</v>
      </c>
      <c r="G15" s="30">
        <v>0.01</v>
      </c>
      <c r="H15" s="31">
        <v>0.04</v>
      </c>
      <c r="I15" s="29">
        <v>-0.14000000000000001</v>
      </c>
      <c r="J15" s="30">
        <v>-0.03</v>
      </c>
      <c r="K15" s="31">
        <v>-0.21</v>
      </c>
      <c r="L15" s="8"/>
    </row>
    <row r="16" spans="1:12" ht="15" customHeight="1" x14ac:dyDescent="0.25">
      <c r="A16" s="199"/>
      <c r="B16" s="14">
        <v>2087</v>
      </c>
      <c r="C16" s="29">
        <v>7148344</v>
      </c>
      <c r="D16" s="30">
        <v>513891.07</v>
      </c>
      <c r="E16" s="31">
        <v>422.38</v>
      </c>
      <c r="F16" s="29">
        <v>0.34</v>
      </c>
      <c r="G16" s="30">
        <v>0.17</v>
      </c>
      <c r="H16" s="31">
        <v>0.18</v>
      </c>
      <c r="I16" s="29">
        <v>-0.16</v>
      </c>
      <c r="J16" s="30">
        <v>-0.02</v>
      </c>
      <c r="K16" s="31">
        <v>-0.02</v>
      </c>
      <c r="L16" s="8"/>
    </row>
    <row r="17" spans="1:12" ht="15" customHeight="1" x14ac:dyDescent="0.25">
      <c r="A17" s="199"/>
      <c r="B17" s="14">
        <v>2401</v>
      </c>
      <c r="C17" s="29">
        <v>7148343.9900000002</v>
      </c>
      <c r="D17" s="30">
        <v>513891.16</v>
      </c>
      <c r="E17" s="31">
        <v>422.37</v>
      </c>
      <c r="F17" s="29">
        <v>0.43</v>
      </c>
      <c r="G17" s="30">
        <v>0.09</v>
      </c>
      <c r="H17" s="31">
        <v>0.11</v>
      </c>
      <c r="I17" s="29">
        <v>-0.17</v>
      </c>
      <c r="J17" s="30">
        <v>-0.01</v>
      </c>
      <c r="K17" s="31">
        <v>-0.01</v>
      </c>
      <c r="L17" s="8"/>
    </row>
    <row r="18" spans="1:12" ht="15" customHeight="1" x14ac:dyDescent="0.25">
      <c r="A18" s="199"/>
      <c r="B18" s="14">
        <v>3113</v>
      </c>
      <c r="C18" s="29">
        <v>7148344</v>
      </c>
      <c r="D18" s="30">
        <v>513891.36</v>
      </c>
      <c r="E18" s="31">
        <v>422.35</v>
      </c>
      <c r="F18" s="29">
        <v>0.63</v>
      </c>
      <c r="G18" s="30">
        <v>0.2</v>
      </c>
      <c r="H18" s="31">
        <v>0.1</v>
      </c>
      <c r="I18" s="29">
        <v>-0.19</v>
      </c>
      <c r="J18" s="30">
        <v>-0.03</v>
      </c>
      <c r="K18" s="31">
        <v>-0.01</v>
      </c>
      <c r="L18" s="8"/>
    </row>
    <row r="19" spans="1:12" ht="15" customHeight="1" x14ac:dyDescent="0.25">
      <c r="A19" s="199"/>
      <c r="B19" s="14">
        <v>3854</v>
      </c>
      <c r="C19" s="29">
        <v>7148343.96</v>
      </c>
      <c r="D19" s="30">
        <v>513891.47</v>
      </c>
      <c r="E19" s="31">
        <v>422.29</v>
      </c>
      <c r="F19" s="29">
        <v>0.74</v>
      </c>
      <c r="G19" s="30">
        <v>0.12</v>
      </c>
      <c r="H19" s="31">
        <v>0.06</v>
      </c>
      <c r="I19" s="29">
        <v>-0.25</v>
      </c>
      <c r="J19" s="30">
        <v>-0.06</v>
      </c>
      <c r="K19" s="31">
        <v>-0.03</v>
      </c>
      <c r="L19" s="8"/>
    </row>
    <row r="20" spans="1:12" ht="15" customHeight="1" x14ac:dyDescent="0.25">
      <c r="A20" s="199"/>
      <c r="B20" s="14">
        <v>3921</v>
      </c>
      <c r="C20" s="29">
        <v>7148343.9500000002</v>
      </c>
      <c r="D20" s="30">
        <v>513891.51</v>
      </c>
      <c r="E20" s="31">
        <v>422.25</v>
      </c>
      <c r="F20" s="29">
        <v>0.78</v>
      </c>
      <c r="G20" s="30">
        <v>0.04</v>
      </c>
      <c r="H20" s="31">
        <v>0.21</v>
      </c>
      <c r="I20" s="29">
        <v>-0.28999999999999998</v>
      </c>
      <c r="J20" s="30">
        <v>-0.03</v>
      </c>
      <c r="K20" s="31">
        <v>-0.19</v>
      </c>
      <c r="L20" s="8"/>
    </row>
    <row r="21" spans="1:12" ht="15" customHeight="1" x14ac:dyDescent="0.25">
      <c r="A21" s="199"/>
      <c r="B21" s="14">
        <v>40766</v>
      </c>
      <c r="C21" s="29">
        <v>7148343.9500000002</v>
      </c>
      <c r="D21" s="30">
        <v>513891.56</v>
      </c>
      <c r="E21" s="31">
        <v>422.24</v>
      </c>
      <c r="F21" s="29">
        <v>0.83</v>
      </c>
      <c r="G21" s="30">
        <v>0.05</v>
      </c>
      <c r="H21" s="31">
        <v>0.05</v>
      </c>
      <c r="I21" s="29">
        <v>-0.31</v>
      </c>
      <c r="J21" s="30">
        <v>-0.02</v>
      </c>
      <c r="K21" s="31">
        <v>-0.02</v>
      </c>
      <c r="L21" s="8"/>
    </row>
    <row r="22" spans="1:12" ht="15" customHeight="1" x14ac:dyDescent="0.25">
      <c r="A22" s="199"/>
      <c r="B22" s="58">
        <v>41127</v>
      </c>
      <c r="C22" s="60">
        <v>7148343.96</v>
      </c>
      <c r="D22" s="53">
        <v>513891.61</v>
      </c>
      <c r="E22" s="54">
        <v>422.2</v>
      </c>
      <c r="F22" s="60">
        <v>0.88</v>
      </c>
      <c r="G22" s="53">
        <v>0.05</v>
      </c>
      <c r="H22" s="54">
        <v>0.05</v>
      </c>
      <c r="I22" s="60">
        <v>-0.34</v>
      </c>
      <c r="J22" s="53">
        <v>-0.04</v>
      </c>
      <c r="K22" s="54">
        <v>-0.04</v>
      </c>
      <c r="L22" s="8"/>
    </row>
    <row r="23" spans="1:12" x14ac:dyDescent="0.25">
      <c r="A23" s="200"/>
      <c r="B23" s="15">
        <v>41883</v>
      </c>
      <c r="C23" s="42">
        <v>7148343.96</v>
      </c>
      <c r="D23" s="41">
        <v>513891.69900000002</v>
      </c>
      <c r="E23" s="43">
        <v>422.2</v>
      </c>
      <c r="F23" s="175">
        <f>F22+G23</f>
        <v>0.96900000003632158</v>
      </c>
      <c r="G23" s="173">
        <f>SQRT(((C23-C22)^2)+((D23-D22)^2))</f>
        <v>8.900000003632158E-2</v>
      </c>
      <c r="H23" s="174">
        <f>G23/((B23-B22)/365)</f>
        <v>4.2969576737112936E-2</v>
      </c>
      <c r="I23" s="175">
        <f>I22+J23</f>
        <v>-0.34</v>
      </c>
      <c r="J23" s="173">
        <f>E23-E22</f>
        <v>0</v>
      </c>
      <c r="K23" s="174">
        <f>J23/((B23-B22)/365)</f>
        <v>0</v>
      </c>
      <c r="L23" s="8"/>
    </row>
    <row r="24" spans="1:12" x14ac:dyDescent="0.25">
      <c r="A24" s="198" t="s">
        <v>31</v>
      </c>
      <c r="B24" s="13" t="s">
        <v>14</v>
      </c>
      <c r="C24" s="25"/>
      <c r="D24" s="26"/>
      <c r="E24" s="27"/>
      <c r="F24" s="25"/>
      <c r="G24" s="124"/>
      <c r="H24" s="125">
        <v>10.271760000000002</v>
      </c>
      <c r="I24" s="25"/>
      <c r="J24" s="26"/>
      <c r="K24" s="27"/>
      <c r="L24" s="8"/>
    </row>
    <row r="25" spans="1:12" x14ac:dyDescent="0.25">
      <c r="A25" s="199"/>
      <c r="B25" s="14" t="s">
        <v>15</v>
      </c>
      <c r="C25" s="29"/>
      <c r="D25" s="30"/>
      <c r="E25" s="31"/>
      <c r="F25" s="29"/>
      <c r="G25" s="126"/>
      <c r="H25" s="90">
        <v>4.0538400000000001</v>
      </c>
      <c r="I25" s="29"/>
      <c r="J25" s="30"/>
      <c r="K25" s="31"/>
      <c r="L25" s="8"/>
    </row>
    <row r="26" spans="1:12" x14ac:dyDescent="0.25">
      <c r="A26" s="199"/>
      <c r="B26" s="14" t="s">
        <v>16</v>
      </c>
      <c r="C26" s="29"/>
      <c r="D26" s="30"/>
      <c r="E26" s="31"/>
      <c r="F26" s="29"/>
      <c r="G26" s="126"/>
      <c r="H26" s="90">
        <v>5.2730400000000008</v>
      </c>
      <c r="I26" s="29"/>
      <c r="J26" s="30"/>
      <c r="K26" s="90"/>
      <c r="L26" s="8"/>
    </row>
    <row r="27" spans="1:12" x14ac:dyDescent="0.25">
      <c r="A27" s="199"/>
      <c r="B27" s="14" t="s">
        <v>17</v>
      </c>
      <c r="C27" s="29"/>
      <c r="D27" s="30"/>
      <c r="E27" s="31"/>
      <c r="F27" s="29"/>
      <c r="G27" s="126"/>
      <c r="H27" s="90">
        <v>5.4864000000000006</v>
      </c>
      <c r="I27" s="29"/>
      <c r="J27" s="30"/>
      <c r="K27" s="90"/>
      <c r="L27" s="8"/>
    </row>
    <row r="28" spans="1:12" x14ac:dyDescent="0.25">
      <c r="A28" s="199"/>
      <c r="B28" s="14" t="s">
        <v>18</v>
      </c>
      <c r="C28" s="29"/>
      <c r="D28" s="30"/>
      <c r="E28" s="31"/>
      <c r="F28" s="29"/>
      <c r="G28" s="30"/>
      <c r="H28" s="31">
        <v>9.5402400000000007</v>
      </c>
      <c r="I28" s="29"/>
      <c r="J28" s="30"/>
      <c r="K28" s="90">
        <v>-3.8709600000000002</v>
      </c>
      <c r="L28" s="8"/>
    </row>
    <row r="29" spans="1:12" x14ac:dyDescent="0.25">
      <c r="A29" s="199"/>
      <c r="B29" s="14" t="s">
        <v>19</v>
      </c>
      <c r="C29" s="29"/>
      <c r="D29" s="30"/>
      <c r="E29" s="31"/>
      <c r="F29" s="29"/>
      <c r="G29" s="30"/>
      <c r="H29" s="31">
        <v>11.917680000000001</v>
      </c>
      <c r="I29" s="29"/>
      <c r="J29" s="30"/>
      <c r="K29" s="90">
        <v>-3.2918400000000001</v>
      </c>
      <c r="L29" s="8"/>
    </row>
    <row r="30" spans="1:12" x14ac:dyDescent="0.25">
      <c r="A30" s="199"/>
      <c r="B30" s="14">
        <v>29799</v>
      </c>
      <c r="C30" s="29"/>
      <c r="D30" s="30"/>
      <c r="E30" s="31"/>
      <c r="F30" s="29"/>
      <c r="G30" s="30"/>
      <c r="H30" s="31">
        <v>18.470880000000001</v>
      </c>
      <c r="I30" s="29"/>
      <c r="J30" s="30"/>
      <c r="K30" s="90">
        <v>-33.32</v>
      </c>
      <c r="L30" s="8"/>
    </row>
    <row r="31" spans="1:12" x14ac:dyDescent="0.25">
      <c r="A31" s="199"/>
      <c r="B31" s="14">
        <v>30103</v>
      </c>
      <c r="C31" s="59"/>
      <c r="D31" s="50"/>
      <c r="E31" s="52"/>
      <c r="F31" s="59"/>
      <c r="G31" s="50"/>
      <c r="H31" s="52">
        <v>23.896320000000003</v>
      </c>
      <c r="I31" s="59"/>
      <c r="J31" s="50"/>
      <c r="K31" s="127">
        <v>-32.9</v>
      </c>
      <c r="L31" s="8"/>
    </row>
    <row r="32" spans="1:12" x14ac:dyDescent="0.25">
      <c r="A32" s="199"/>
      <c r="B32" s="14">
        <v>30468</v>
      </c>
      <c r="C32" s="59">
        <f>114393.96*0.3048</f>
        <v>34867.279008000005</v>
      </c>
      <c r="D32" s="50">
        <f>109293.56*0.3048</f>
        <v>33312.677088000004</v>
      </c>
      <c r="E32" s="52">
        <v>455.96860800000002</v>
      </c>
      <c r="F32" s="59"/>
      <c r="G32" s="50"/>
      <c r="H32" s="52">
        <v>33.506664000000001</v>
      </c>
      <c r="I32" s="59"/>
      <c r="J32" s="50"/>
      <c r="K32" s="127">
        <v>-44.09</v>
      </c>
      <c r="L32" s="8"/>
    </row>
    <row r="33" spans="1:12" ht="15" customHeight="1" x14ac:dyDescent="0.25">
      <c r="A33" s="199"/>
      <c r="B33" s="14">
        <v>30560</v>
      </c>
      <c r="C33" s="59">
        <f>114395.27*0.3048</f>
        <v>34867.678296000006</v>
      </c>
      <c r="D33" s="50">
        <f>109321.13*0.3048</f>
        <v>33321.080424</v>
      </c>
      <c r="E33" s="52">
        <v>452.15251200000006</v>
      </c>
      <c r="F33" s="59"/>
      <c r="G33" s="50"/>
      <c r="H33" s="52">
        <v>28.968192000000002</v>
      </c>
      <c r="I33" s="59"/>
      <c r="J33" s="50"/>
      <c r="K33" s="127">
        <v>-13.139928000000001</v>
      </c>
      <c r="L33" s="8"/>
    </row>
    <row r="34" spans="1:12" ht="15" customHeight="1" x14ac:dyDescent="0.25">
      <c r="A34" s="199"/>
      <c r="B34" s="14">
        <v>30834</v>
      </c>
      <c r="C34" s="29"/>
      <c r="D34" s="30"/>
      <c r="E34" s="31"/>
      <c r="F34" s="29"/>
      <c r="G34" s="30"/>
      <c r="H34" s="31">
        <v>33.128712</v>
      </c>
      <c r="I34" s="29"/>
      <c r="J34" s="30"/>
      <c r="K34" s="31">
        <v>-8.8483440000000009</v>
      </c>
      <c r="L34" s="8"/>
    </row>
    <row r="35" spans="1:12" ht="15" customHeight="1" x14ac:dyDescent="0.25">
      <c r="A35" s="199"/>
      <c r="B35" s="14">
        <v>31199</v>
      </c>
      <c r="C35" s="29"/>
      <c r="D35" s="30"/>
      <c r="E35" s="31"/>
      <c r="F35" s="29"/>
      <c r="G35" s="30"/>
      <c r="H35" s="31">
        <v>22.896576000000003</v>
      </c>
      <c r="I35" s="29"/>
      <c r="J35" s="30"/>
      <c r="K35" s="31">
        <v>-9.9151440000000015</v>
      </c>
      <c r="L35" s="8"/>
    </row>
    <row r="36" spans="1:12" ht="15" customHeight="1" x14ac:dyDescent="0.25">
      <c r="A36" s="199"/>
      <c r="B36" s="14">
        <v>31594</v>
      </c>
      <c r="C36" s="29">
        <f>114399.17*0.3048</f>
        <v>34868.867016000004</v>
      </c>
      <c r="D36" s="30">
        <f>109501.38*0.3048</f>
        <v>33376.020624000004</v>
      </c>
      <c r="E36" s="31">
        <v>429.21021600000006</v>
      </c>
      <c r="F36" s="29"/>
      <c r="G36" s="30"/>
      <c r="H36" s="31">
        <v>16.465296000000002</v>
      </c>
      <c r="I36" s="29"/>
      <c r="J36" s="30"/>
      <c r="K36" s="31">
        <v>-6.6019680000000003</v>
      </c>
      <c r="L36" s="8"/>
    </row>
    <row r="37" spans="1:12" ht="15" customHeight="1" x14ac:dyDescent="0.25">
      <c r="A37" s="199"/>
      <c r="B37" s="14">
        <v>1329</v>
      </c>
      <c r="C37" s="29">
        <v>7148312.2300000004</v>
      </c>
      <c r="D37" s="30">
        <v>513899</v>
      </c>
      <c r="E37" s="31">
        <v>417.39</v>
      </c>
      <c r="F37" s="29"/>
      <c r="G37" s="51"/>
      <c r="H37" s="31">
        <v>3.51</v>
      </c>
      <c r="I37" s="29"/>
      <c r="J37" s="51"/>
      <c r="K37" s="31">
        <v>-1.44</v>
      </c>
      <c r="L37" s="8"/>
    </row>
    <row r="38" spans="1:12" ht="15" customHeight="1" x14ac:dyDescent="0.25">
      <c r="A38" s="199"/>
      <c r="B38" s="14">
        <v>1671</v>
      </c>
      <c r="C38" s="29">
        <v>7148312.2000000002</v>
      </c>
      <c r="D38" s="30">
        <v>513899.14</v>
      </c>
      <c r="E38" s="31">
        <v>417.31</v>
      </c>
      <c r="F38" s="29">
        <v>0.14000000000000001</v>
      </c>
      <c r="G38" s="30">
        <v>0.14000000000000001</v>
      </c>
      <c r="H38" s="31">
        <v>0.15</v>
      </c>
      <c r="I38" s="29">
        <v>-0.08</v>
      </c>
      <c r="J38" s="30">
        <v>-0.08</v>
      </c>
      <c r="K38" s="31">
        <v>-0.08</v>
      </c>
      <c r="L38" s="8"/>
    </row>
    <row r="39" spans="1:12" ht="15" customHeight="1" x14ac:dyDescent="0.25">
      <c r="A39" s="199"/>
      <c r="B39" s="14">
        <v>1728</v>
      </c>
      <c r="C39" s="29">
        <v>7148312.2000000002</v>
      </c>
      <c r="D39" s="30">
        <v>513899.14</v>
      </c>
      <c r="E39" s="31">
        <v>417.28</v>
      </c>
      <c r="F39" s="29">
        <v>0.14000000000000001</v>
      </c>
      <c r="G39" s="30">
        <v>0.01</v>
      </c>
      <c r="H39" s="31">
        <v>0.03</v>
      </c>
      <c r="I39" s="29">
        <v>-0.12</v>
      </c>
      <c r="J39" s="30">
        <v>-0.04</v>
      </c>
      <c r="K39" s="31">
        <v>-0.25</v>
      </c>
      <c r="L39" s="8"/>
    </row>
    <row r="40" spans="1:12" ht="15" customHeight="1" x14ac:dyDescent="0.25">
      <c r="A40" s="199"/>
      <c r="B40" s="14">
        <v>2087</v>
      </c>
      <c r="C40" s="29">
        <v>7148312.1900000004</v>
      </c>
      <c r="D40" s="30">
        <v>513899.26</v>
      </c>
      <c r="E40" s="31">
        <v>417.28</v>
      </c>
      <c r="F40" s="29">
        <v>0.26</v>
      </c>
      <c r="G40" s="30">
        <v>0.12</v>
      </c>
      <c r="H40" s="31">
        <v>0.12</v>
      </c>
      <c r="I40" s="29">
        <v>-0.11</v>
      </c>
      <c r="J40" s="30">
        <v>0</v>
      </c>
      <c r="K40" s="31">
        <v>0</v>
      </c>
      <c r="L40" s="8"/>
    </row>
    <row r="41" spans="1:12" ht="15" customHeight="1" x14ac:dyDescent="0.25">
      <c r="A41" s="199"/>
      <c r="B41" s="14">
        <v>2401</v>
      </c>
      <c r="C41" s="29">
        <v>7148312.1600000001</v>
      </c>
      <c r="D41" s="30">
        <v>513899.34</v>
      </c>
      <c r="E41" s="31">
        <v>417.29</v>
      </c>
      <c r="F41" s="29">
        <v>0.35</v>
      </c>
      <c r="G41" s="30">
        <v>0.09</v>
      </c>
      <c r="H41" s="31">
        <v>0.1</v>
      </c>
      <c r="I41" s="29">
        <v>-0.1</v>
      </c>
      <c r="J41" s="30">
        <v>0.01</v>
      </c>
      <c r="K41" s="31">
        <v>0.01</v>
      </c>
      <c r="L41" s="8"/>
    </row>
    <row r="42" spans="1:12" ht="15" customHeight="1" x14ac:dyDescent="0.25">
      <c r="A42" s="199"/>
      <c r="B42" s="14">
        <v>3113</v>
      </c>
      <c r="C42" s="29">
        <v>7148312.1500000004</v>
      </c>
      <c r="D42" s="30">
        <v>513899.49</v>
      </c>
      <c r="E42" s="31">
        <v>417.25</v>
      </c>
      <c r="F42" s="29">
        <v>0.5</v>
      </c>
      <c r="G42" s="30">
        <v>0.15</v>
      </c>
      <c r="H42" s="31">
        <v>0.08</v>
      </c>
      <c r="I42" s="29">
        <v>-0.14000000000000001</v>
      </c>
      <c r="J42" s="30">
        <v>-0.04</v>
      </c>
      <c r="K42" s="31">
        <v>-0.02</v>
      </c>
      <c r="L42" s="8"/>
    </row>
    <row r="43" spans="1:12" ht="15" customHeight="1" x14ac:dyDescent="0.25">
      <c r="A43" s="199"/>
      <c r="B43" s="14">
        <v>3854</v>
      </c>
      <c r="C43" s="29">
        <v>7148312.0700000003</v>
      </c>
      <c r="D43" s="30">
        <v>513899.6</v>
      </c>
      <c r="E43" s="31">
        <v>417.19</v>
      </c>
      <c r="F43" s="29">
        <v>0.62</v>
      </c>
      <c r="G43" s="30">
        <v>0.14000000000000001</v>
      </c>
      <c r="H43" s="31">
        <v>7.0000000000000007E-2</v>
      </c>
      <c r="I43" s="29">
        <v>-0.2</v>
      </c>
      <c r="J43" s="30">
        <v>-0.06</v>
      </c>
      <c r="K43" s="31">
        <v>-0.03</v>
      </c>
      <c r="L43" s="8"/>
    </row>
    <row r="44" spans="1:12" x14ac:dyDescent="0.25">
      <c r="A44" s="199"/>
      <c r="B44" s="14">
        <v>3921</v>
      </c>
      <c r="C44" s="29">
        <v>7148312.0700000003</v>
      </c>
      <c r="D44" s="30">
        <v>513899.64</v>
      </c>
      <c r="E44" s="31">
        <v>417.16</v>
      </c>
      <c r="F44" s="29">
        <v>0.66</v>
      </c>
      <c r="G44" s="30">
        <v>0.04</v>
      </c>
      <c r="H44" s="31">
        <v>0.23</v>
      </c>
      <c r="I44" s="29">
        <v>-0.23</v>
      </c>
      <c r="J44" s="30">
        <v>-0.04</v>
      </c>
      <c r="K44" s="31">
        <v>-0.2</v>
      </c>
      <c r="L44" s="8"/>
    </row>
    <row r="45" spans="1:12" x14ac:dyDescent="0.25">
      <c r="A45" s="199"/>
      <c r="B45" s="14">
        <v>40766</v>
      </c>
      <c r="C45" s="29">
        <v>7148312.0599999996</v>
      </c>
      <c r="D45" s="30">
        <v>513899.67</v>
      </c>
      <c r="E45" s="31">
        <v>417.15</v>
      </c>
      <c r="F45" s="29">
        <v>0.69</v>
      </c>
      <c r="G45" s="30">
        <v>0.03</v>
      </c>
      <c r="H45" s="31">
        <v>0.03</v>
      </c>
      <c r="I45" s="29">
        <v>-0.24</v>
      </c>
      <c r="J45" s="30">
        <v>-0.01</v>
      </c>
      <c r="K45" s="31">
        <v>-0.01</v>
      </c>
      <c r="L45" s="8"/>
    </row>
    <row r="46" spans="1:12" x14ac:dyDescent="0.25">
      <c r="A46" s="199"/>
      <c r="B46" s="58">
        <v>41127</v>
      </c>
      <c r="C46" s="60">
        <v>7148312.0800000001</v>
      </c>
      <c r="D46" s="53">
        <v>513899.72</v>
      </c>
      <c r="E46" s="54">
        <v>417.09</v>
      </c>
      <c r="F46" s="60">
        <v>0.73</v>
      </c>
      <c r="G46" s="53">
        <v>0.05</v>
      </c>
      <c r="H46" s="54">
        <v>0.05</v>
      </c>
      <c r="I46" s="60">
        <v>-0.3</v>
      </c>
      <c r="J46" s="53">
        <v>-0.06</v>
      </c>
      <c r="K46" s="54">
        <v>-0.06</v>
      </c>
      <c r="L46" s="8"/>
    </row>
    <row r="47" spans="1:12" ht="15" customHeight="1" x14ac:dyDescent="0.25">
      <c r="A47" s="199"/>
      <c r="B47" s="15">
        <v>41883</v>
      </c>
      <c r="C47" s="60">
        <v>7148312.057</v>
      </c>
      <c r="D47" s="53">
        <v>513899.79499999998</v>
      </c>
      <c r="E47" s="54">
        <v>417.06599999999997</v>
      </c>
      <c r="F47" s="175">
        <f>F46+G47</f>
        <v>0.80844743465405733</v>
      </c>
      <c r="G47" s="173">
        <f>SQRT(((C47-C46)^2)+((D47-D46)^2))</f>
        <v>7.8447434654057305E-2</v>
      </c>
      <c r="H47" s="174">
        <f>G47/((B47-B46)/365)</f>
        <v>3.7874753503612323E-2</v>
      </c>
      <c r="I47" s="175">
        <f>I46+J47</f>
        <v>-0.3240000000000009</v>
      </c>
      <c r="J47" s="173">
        <f>E47-E46</f>
        <v>-2.4000000000000909E-2</v>
      </c>
      <c r="K47" s="174">
        <f>J47/((B47-B46)/365)</f>
        <v>-1.1587301587302026E-2</v>
      </c>
      <c r="L47" s="8"/>
    </row>
    <row r="48" spans="1:12" ht="15" customHeight="1" x14ac:dyDescent="0.25">
      <c r="A48" s="192">
        <v>1489</v>
      </c>
      <c r="B48" s="13">
        <v>1329</v>
      </c>
      <c r="C48" s="140">
        <v>7148305.2300000004</v>
      </c>
      <c r="D48" s="26">
        <v>513928.45</v>
      </c>
      <c r="E48" s="27">
        <v>413.7</v>
      </c>
      <c r="F48" s="25"/>
      <c r="G48" s="141"/>
      <c r="H48" s="142"/>
      <c r="I48" s="25"/>
      <c r="J48" s="141"/>
      <c r="K48" s="142"/>
      <c r="L48" s="8"/>
    </row>
    <row r="49" spans="1:12" ht="15" customHeight="1" x14ac:dyDescent="0.25">
      <c r="A49" s="193"/>
      <c r="B49" s="14">
        <v>1671</v>
      </c>
      <c r="C49" s="143">
        <v>7148305.1900000004</v>
      </c>
      <c r="D49" s="30">
        <v>513928.51</v>
      </c>
      <c r="E49" s="31">
        <v>413.66</v>
      </c>
      <c r="F49" s="29">
        <v>0.08</v>
      </c>
      <c r="G49" s="30">
        <v>0.08</v>
      </c>
      <c r="H49" s="31">
        <v>0.08</v>
      </c>
      <c r="I49" s="29">
        <v>-0.04</v>
      </c>
      <c r="J49" s="30">
        <v>-0.04</v>
      </c>
      <c r="K49" s="31">
        <v>-0.04</v>
      </c>
      <c r="L49" s="8"/>
    </row>
    <row r="50" spans="1:12" ht="15" customHeight="1" x14ac:dyDescent="0.25">
      <c r="A50" s="193"/>
      <c r="B50" s="14">
        <v>1728</v>
      </c>
      <c r="C50" s="143">
        <v>7148305.2000000002</v>
      </c>
      <c r="D50" s="30">
        <v>513928.5</v>
      </c>
      <c r="E50" s="31">
        <v>413.64</v>
      </c>
      <c r="F50" s="29">
        <v>0.06</v>
      </c>
      <c r="G50" s="30">
        <v>0.01</v>
      </c>
      <c r="H50" s="31">
        <v>0.09</v>
      </c>
      <c r="I50" s="29">
        <v>-0.06</v>
      </c>
      <c r="J50" s="30">
        <v>-0.03</v>
      </c>
      <c r="K50" s="31">
        <v>-0.16</v>
      </c>
      <c r="L50" s="8"/>
    </row>
    <row r="51" spans="1:12" ht="15" customHeight="1" x14ac:dyDescent="0.25">
      <c r="A51" s="193"/>
      <c r="B51" s="14">
        <v>2087</v>
      </c>
      <c r="C51" s="143">
        <v>7148305.1500000004</v>
      </c>
      <c r="D51" s="30">
        <v>513928.58</v>
      </c>
      <c r="E51" s="31">
        <v>413.62</v>
      </c>
      <c r="F51" s="29">
        <v>0.15</v>
      </c>
      <c r="G51" s="30">
        <v>0.09</v>
      </c>
      <c r="H51" s="31">
        <v>0.09</v>
      </c>
      <c r="I51" s="29">
        <v>-0.08</v>
      </c>
      <c r="J51" s="30">
        <v>-0.02</v>
      </c>
      <c r="K51" s="31">
        <v>-0.02</v>
      </c>
      <c r="L51" s="8"/>
    </row>
    <row r="52" spans="1:12" ht="15" customHeight="1" x14ac:dyDescent="0.25">
      <c r="A52" s="193"/>
      <c r="B52" s="14">
        <v>2401</v>
      </c>
      <c r="C52" s="143">
        <v>7148305.1200000001</v>
      </c>
      <c r="D52" s="30">
        <v>513928.62</v>
      </c>
      <c r="E52" s="31">
        <v>413.62</v>
      </c>
      <c r="F52" s="29">
        <v>0.2</v>
      </c>
      <c r="G52" s="30">
        <v>0.04</v>
      </c>
      <c r="H52" s="31">
        <v>0.05</v>
      </c>
      <c r="I52" s="29">
        <v>-0.08</v>
      </c>
      <c r="J52" s="30">
        <v>0</v>
      </c>
      <c r="K52" s="31">
        <v>0</v>
      </c>
      <c r="L52" s="8"/>
    </row>
    <row r="53" spans="1:12" ht="15" customHeight="1" x14ac:dyDescent="0.25">
      <c r="A53" s="193"/>
      <c r="B53" s="14">
        <v>3113</v>
      </c>
      <c r="C53" s="143">
        <v>7148305.0899999999</v>
      </c>
      <c r="D53" s="30">
        <v>513928.68</v>
      </c>
      <c r="E53" s="31">
        <v>413.6</v>
      </c>
      <c r="F53" s="29">
        <v>0.27</v>
      </c>
      <c r="G53" s="30">
        <v>7.0000000000000007E-2</v>
      </c>
      <c r="H53" s="31">
        <v>0.04</v>
      </c>
      <c r="I53" s="29">
        <v>-0.1</v>
      </c>
      <c r="J53" s="30">
        <v>-0.02</v>
      </c>
      <c r="K53" s="31">
        <v>-0.01</v>
      </c>
      <c r="L53" s="8"/>
    </row>
    <row r="54" spans="1:12" ht="15" customHeight="1" x14ac:dyDescent="0.25">
      <c r="A54" s="193"/>
      <c r="B54" s="14">
        <v>3854</v>
      </c>
      <c r="C54" s="143">
        <v>7148305.0300000003</v>
      </c>
      <c r="D54" s="30">
        <v>513928.67</v>
      </c>
      <c r="E54" s="31">
        <v>413.55</v>
      </c>
      <c r="F54" s="29">
        <v>0.3</v>
      </c>
      <c r="G54" s="30">
        <v>0.06</v>
      </c>
      <c r="H54" s="31">
        <v>0.03</v>
      </c>
      <c r="I54" s="29">
        <v>-0.15</v>
      </c>
      <c r="J54" s="30">
        <v>-0.05</v>
      </c>
      <c r="K54" s="31">
        <v>-0.02</v>
      </c>
      <c r="L54" s="8"/>
    </row>
    <row r="55" spans="1:12" ht="15" customHeight="1" x14ac:dyDescent="0.25">
      <c r="A55" s="193"/>
      <c r="B55" s="14">
        <v>3921</v>
      </c>
      <c r="C55" s="143">
        <v>7148305.0300000003</v>
      </c>
      <c r="D55" s="30">
        <v>513928.69</v>
      </c>
      <c r="E55" s="31">
        <v>413.52</v>
      </c>
      <c r="F55" s="29">
        <v>0.32</v>
      </c>
      <c r="G55" s="30">
        <v>0.03</v>
      </c>
      <c r="H55" s="31">
        <v>0.14000000000000001</v>
      </c>
      <c r="I55" s="29">
        <v>-0.18</v>
      </c>
      <c r="J55" s="30">
        <v>-0.03</v>
      </c>
      <c r="K55" s="31">
        <v>-0.19</v>
      </c>
      <c r="L55" s="8"/>
    </row>
    <row r="56" spans="1:12" ht="15" customHeight="1" x14ac:dyDescent="0.25">
      <c r="A56" s="193"/>
      <c r="B56" s="14">
        <v>40766</v>
      </c>
      <c r="C56" s="143">
        <v>7148305.0199999996</v>
      </c>
      <c r="D56" s="30">
        <v>513928.71</v>
      </c>
      <c r="E56" s="31">
        <v>413.53</v>
      </c>
      <c r="F56" s="29">
        <v>0.33</v>
      </c>
      <c r="G56" s="30">
        <v>0.02</v>
      </c>
      <c r="H56" s="31">
        <v>0.02</v>
      </c>
      <c r="I56" s="29">
        <v>-0.17</v>
      </c>
      <c r="J56" s="30">
        <v>0.01</v>
      </c>
      <c r="K56" s="31">
        <v>0.01</v>
      </c>
      <c r="L56" s="8"/>
    </row>
    <row r="57" spans="1:12" ht="15" customHeight="1" x14ac:dyDescent="0.25">
      <c r="A57" s="193"/>
      <c r="B57" s="58">
        <v>41127</v>
      </c>
      <c r="C57" s="147">
        <v>7148305.0300000003</v>
      </c>
      <c r="D57" s="53">
        <v>513928.74</v>
      </c>
      <c r="E57" s="54">
        <v>413.51</v>
      </c>
      <c r="F57" s="60">
        <v>0.36</v>
      </c>
      <c r="G57" s="53">
        <v>0.04</v>
      </c>
      <c r="H57" s="54">
        <v>0.04</v>
      </c>
      <c r="I57" s="60">
        <v>-0.19</v>
      </c>
      <c r="J57" s="53">
        <v>-0.02</v>
      </c>
      <c r="K57" s="54">
        <v>-0.02</v>
      </c>
      <c r="L57" s="8"/>
    </row>
    <row r="58" spans="1:12" ht="15" customHeight="1" x14ac:dyDescent="0.25">
      <c r="A58" s="194"/>
      <c r="B58" s="15">
        <v>41883</v>
      </c>
      <c r="C58" s="144">
        <v>7148305.0109999999</v>
      </c>
      <c r="D58" s="145">
        <v>513928.74699999997</v>
      </c>
      <c r="E58" s="146">
        <v>413.47300000000001</v>
      </c>
      <c r="F58" s="176">
        <f>F57+G58</f>
        <v>0.38024845702614291</v>
      </c>
      <c r="G58" s="177">
        <f>SQRT(((C58-C57)^2)+((D58-D57)^2))</f>
        <v>2.0248457026142894E-2</v>
      </c>
      <c r="H58" s="178">
        <f>G58/((B58-B57)/365)</f>
        <v>9.7760407599763975E-3</v>
      </c>
      <c r="I58" s="176">
        <f>I57+J58</f>
        <v>-0.22699999999997772</v>
      </c>
      <c r="J58" s="177">
        <f>E58-E57</f>
        <v>-3.6999999999977717E-2</v>
      </c>
      <c r="K58" s="178">
        <f>J58/((B58-B57)/365)</f>
        <v>-1.7863756613745858E-2</v>
      </c>
      <c r="L58" s="8"/>
    </row>
    <row r="59" spans="1:12" ht="15" customHeight="1" x14ac:dyDescent="0.25">
      <c r="A59" s="199" t="s">
        <v>32</v>
      </c>
      <c r="B59" s="134">
        <v>1671</v>
      </c>
      <c r="C59" s="135">
        <v>7148365.7300000004</v>
      </c>
      <c r="D59" s="136">
        <v>513942.45</v>
      </c>
      <c r="E59" s="137">
        <v>413.19</v>
      </c>
      <c r="F59" s="135"/>
      <c r="G59" s="138"/>
      <c r="H59" s="139"/>
      <c r="I59" s="135"/>
      <c r="J59" s="138"/>
      <c r="K59" s="139"/>
      <c r="L59" s="8"/>
    </row>
    <row r="60" spans="1:12" ht="15" customHeight="1" x14ac:dyDescent="0.25">
      <c r="A60" s="199"/>
      <c r="B60" s="14">
        <v>1728</v>
      </c>
      <c r="C60" s="29">
        <v>7148365.7300000004</v>
      </c>
      <c r="D60" s="30">
        <v>513942.45</v>
      </c>
      <c r="E60" s="31">
        <v>413.16</v>
      </c>
      <c r="F60" s="29">
        <v>0.01</v>
      </c>
      <c r="G60" s="30">
        <v>0.01</v>
      </c>
      <c r="H60" s="31">
        <v>0.03</v>
      </c>
      <c r="I60" s="29">
        <v>-0.02</v>
      </c>
      <c r="J60" s="30">
        <v>-0.02</v>
      </c>
      <c r="K60" s="31">
        <v>-0.15</v>
      </c>
      <c r="L60" s="8"/>
    </row>
    <row r="61" spans="1:12" ht="15" customHeight="1" x14ac:dyDescent="0.25">
      <c r="A61" s="199"/>
      <c r="B61" s="14">
        <v>2087</v>
      </c>
      <c r="C61" s="29">
        <v>7148365.7199999997</v>
      </c>
      <c r="D61" s="30">
        <v>513942.59</v>
      </c>
      <c r="E61" s="31">
        <v>413.16</v>
      </c>
      <c r="F61" s="29">
        <v>0.14000000000000001</v>
      </c>
      <c r="G61" s="30">
        <v>0.14000000000000001</v>
      </c>
      <c r="H61" s="31">
        <v>0.14000000000000001</v>
      </c>
      <c r="I61" s="29">
        <v>-0.03</v>
      </c>
      <c r="J61" s="30">
        <v>0</v>
      </c>
      <c r="K61" s="31">
        <v>-0.01</v>
      </c>
      <c r="L61" s="8"/>
    </row>
    <row r="62" spans="1:12" ht="15" customHeight="1" x14ac:dyDescent="0.25">
      <c r="A62" s="199"/>
      <c r="B62" s="14">
        <v>2401</v>
      </c>
      <c r="C62" s="29">
        <v>7148365.7000000002</v>
      </c>
      <c r="D62" s="30">
        <v>513942.7</v>
      </c>
      <c r="E62" s="31">
        <v>413.15</v>
      </c>
      <c r="F62" s="29">
        <v>0.24</v>
      </c>
      <c r="G62" s="30">
        <v>0.11</v>
      </c>
      <c r="H62" s="31">
        <v>0.13</v>
      </c>
      <c r="I62" s="29">
        <v>-0.03</v>
      </c>
      <c r="J62" s="30">
        <v>-0.01</v>
      </c>
      <c r="K62" s="31">
        <v>-0.01</v>
      </c>
      <c r="L62" s="8"/>
    </row>
    <row r="63" spans="1:12" ht="15" customHeight="1" x14ac:dyDescent="0.25">
      <c r="A63" s="199"/>
      <c r="B63" s="14">
        <v>3113</v>
      </c>
      <c r="C63" s="29">
        <v>7148365.7199999997</v>
      </c>
      <c r="D63" s="30">
        <v>513942.85</v>
      </c>
      <c r="E63" s="31">
        <v>413.1</v>
      </c>
      <c r="F63" s="29">
        <v>0.4</v>
      </c>
      <c r="G63" s="30">
        <v>0.16</v>
      </c>
      <c r="H63" s="31">
        <v>0.08</v>
      </c>
      <c r="I63" s="29">
        <v>-0.09</v>
      </c>
      <c r="J63" s="30">
        <v>-0.05</v>
      </c>
      <c r="K63" s="31">
        <v>-0.03</v>
      </c>
      <c r="L63" s="8"/>
    </row>
    <row r="64" spans="1:12" ht="15" customHeight="1" x14ac:dyDescent="0.25">
      <c r="A64" s="199"/>
      <c r="B64" s="14">
        <v>3854</v>
      </c>
      <c r="C64" s="29">
        <v>7148365.71</v>
      </c>
      <c r="D64" s="30">
        <v>513942.97</v>
      </c>
      <c r="E64" s="31">
        <v>413.05</v>
      </c>
      <c r="F64" s="29">
        <v>0.52</v>
      </c>
      <c r="G64" s="30">
        <v>0.12</v>
      </c>
      <c r="H64" s="31">
        <v>0.06</v>
      </c>
      <c r="I64" s="29">
        <v>-0.14000000000000001</v>
      </c>
      <c r="J64" s="30">
        <v>-0.05</v>
      </c>
      <c r="K64" s="31">
        <v>-0.03</v>
      </c>
      <c r="L64" s="8"/>
    </row>
    <row r="65" spans="1:12" ht="15" customHeight="1" x14ac:dyDescent="0.25">
      <c r="A65" s="199"/>
      <c r="B65" s="14">
        <v>3921</v>
      </c>
      <c r="C65" s="29">
        <v>7148365.6900000004</v>
      </c>
      <c r="D65" s="30">
        <v>513943.01</v>
      </c>
      <c r="E65" s="31">
        <v>413</v>
      </c>
      <c r="F65" s="29">
        <v>0.56000000000000005</v>
      </c>
      <c r="G65" s="30">
        <v>0.05</v>
      </c>
      <c r="H65" s="31">
        <v>0.27</v>
      </c>
      <c r="I65" s="29">
        <v>-0.19</v>
      </c>
      <c r="J65" s="30">
        <v>-0.05</v>
      </c>
      <c r="K65" s="31">
        <v>-0.28999999999999998</v>
      </c>
      <c r="L65" s="8"/>
    </row>
    <row r="66" spans="1:12" ht="15" customHeight="1" x14ac:dyDescent="0.25">
      <c r="A66" s="199"/>
      <c r="B66" s="14">
        <v>40766</v>
      </c>
      <c r="C66" s="29">
        <v>7148365.71</v>
      </c>
      <c r="D66" s="30">
        <v>513943.03</v>
      </c>
      <c r="E66" s="31">
        <v>412.99</v>
      </c>
      <c r="F66" s="29">
        <v>0.57999999999999996</v>
      </c>
      <c r="G66" s="30">
        <v>0.02</v>
      </c>
      <c r="H66" s="31">
        <v>0.02</v>
      </c>
      <c r="I66" s="29">
        <v>-0.19</v>
      </c>
      <c r="J66" s="30">
        <v>0</v>
      </c>
      <c r="K66" s="31">
        <v>0</v>
      </c>
      <c r="L66" s="8"/>
    </row>
    <row r="67" spans="1:12" ht="15" customHeight="1" x14ac:dyDescent="0.25">
      <c r="A67" s="199"/>
      <c r="B67" s="58">
        <v>41127</v>
      </c>
      <c r="C67" s="60">
        <v>7148365.7300000004</v>
      </c>
      <c r="D67" s="53">
        <v>513943.1</v>
      </c>
      <c r="E67" s="54">
        <v>412.94</v>
      </c>
      <c r="F67" s="60">
        <v>0.64</v>
      </c>
      <c r="G67" s="53">
        <v>7.0000000000000007E-2</v>
      </c>
      <c r="H67" s="54">
        <v>7.0000000000000007E-2</v>
      </c>
      <c r="I67" s="60">
        <v>-0.25</v>
      </c>
      <c r="J67" s="53">
        <v>-0.06</v>
      </c>
      <c r="K67" s="54">
        <v>-0.06</v>
      </c>
      <c r="L67" s="8"/>
    </row>
    <row r="68" spans="1:12" ht="15" customHeight="1" x14ac:dyDescent="0.25">
      <c r="A68" s="200"/>
      <c r="B68" s="15">
        <v>41883</v>
      </c>
      <c r="C68" s="42">
        <v>7148365.7089999998</v>
      </c>
      <c r="D68" s="41">
        <v>513943.23100000003</v>
      </c>
      <c r="E68" s="43">
        <v>412.86900000000003</v>
      </c>
      <c r="F68" s="175">
        <f>F67+G68</f>
        <v>0.77267252933779762</v>
      </c>
      <c r="G68" s="173">
        <f>SQRT(((C68-C67)^2)+((D68-D67)^2))</f>
        <v>0.13267252933779766</v>
      </c>
      <c r="H68" s="174">
        <f>G68/((B68-B67)/365)</f>
        <v>6.4054858741132467E-2</v>
      </c>
      <c r="I68" s="175">
        <f>I67+J68</f>
        <v>-0.32099999999996953</v>
      </c>
      <c r="J68" s="173">
        <f>E68-E67</f>
        <v>-7.0999999999969532E-2</v>
      </c>
      <c r="K68" s="174">
        <f>J68/((B68-B67)/365)</f>
        <v>-3.4279100529085824E-2</v>
      </c>
      <c r="L68" s="8"/>
    </row>
    <row r="69" spans="1:12" ht="15" customHeight="1" x14ac:dyDescent="0.25">
      <c r="A69" s="192" t="s">
        <v>36</v>
      </c>
      <c r="B69" s="13">
        <v>1329</v>
      </c>
      <c r="C69" s="25">
        <v>7148354.0099999998</v>
      </c>
      <c r="D69" s="26">
        <v>513936.37</v>
      </c>
      <c r="E69" s="27">
        <v>414.1</v>
      </c>
      <c r="F69" s="25"/>
      <c r="G69" s="55"/>
      <c r="H69" s="56"/>
      <c r="I69" s="25"/>
      <c r="J69" s="55"/>
      <c r="K69" s="56"/>
      <c r="L69" s="8"/>
    </row>
    <row r="70" spans="1:12" ht="15" customHeight="1" x14ac:dyDescent="0.25">
      <c r="A70" s="193"/>
      <c r="B70" s="14">
        <v>1671</v>
      </c>
      <c r="C70" s="29">
        <v>7148354</v>
      </c>
      <c r="D70" s="30">
        <v>513936.52</v>
      </c>
      <c r="E70" s="31">
        <v>414.1</v>
      </c>
      <c r="F70" s="29">
        <v>0.15</v>
      </c>
      <c r="G70" s="30">
        <v>0.15</v>
      </c>
      <c r="H70" s="31">
        <v>0.16</v>
      </c>
      <c r="I70" s="29">
        <v>0</v>
      </c>
      <c r="J70" s="30">
        <v>0</v>
      </c>
      <c r="K70" s="31">
        <v>-0.01</v>
      </c>
      <c r="L70" s="8"/>
    </row>
    <row r="71" spans="1:12" ht="15" customHeight="1" x14ac:dyDescent="0.25">
      <c r="A71" s="193"/>
      <c r="B71" s="14">
        <v>1728</v>
      </c>
      <c r="C71" s="29">
        <v>7148354.0099999998</v>
      </c>
      <c r="D71" s="30">
        <v>513936.52</v>
      </c>
      <c r="E71" s="31">
        <v>414.08</v>
      </c>
      <c r="F71" s="29">
        <v>0.15</v>
      </c>
      <c r="G71" s="30">
        <v>0.01</v>
      </c>
      <c r="H71" s="31">
        <v>0.09</v>
      </c>
      <c r="I71" s="29">
        <v>-0.02</v>
      </c>
      <c r="J71" s="30">
        <v>-0.02</v>
      </c>
      <c r="K71" s="31">
        <v>-0.11</v>
      </c>
      <c r="L71" s="8"/>
    </row>
    <row r="72" spans="1:12" ht="15" customHeight="1" x14ac:dyDescent="0.25">
      <c r="A72" s="193"/>
      <c r="B72" s="14">
        <v>2087</v>
      </c>
      <c r="C72" s="29">
        <v>7148354.0199999996</v>
      </c>
      <c r="D72" s="30">
        <v>513936.65</v>
      </c>
      <c r="E72" s="31">
        <v>414.05</v>
      </c>
      <c r="F72" s="29">
        <v>0.28000000000000003</v>
      </c>
      <c r="G72" s="30">
        <v>0.13</v>
      </c>
      <c r="H72" s="31">
        <v>0.14000000000000001</v>
      </c>
      <c r="I72" s="29">
        <v>-0.05</v>
      </c>
      <c r="J72" s="30">
        <v>-0.03</v>
      </c>
      <c r="K72" s="31">
        <v>-0.03</v>
      </c>
      <c r="L72" s="8"/>
    </row>
    <row r="73" spans="1:12" ht="15" customHeight="1" x14ac:dyDescent="0.25">
      <c r="A73" s="193"/>
      <c r="B73" s="14">
        <v>2401</v>
      </c>
      <c r="C73" s="29">
        <v>7148354.0300000003</v>
      </c>
      <c r="D73" s="30">
        <v>513936.74</v>
      </c>
      <c r="E73" s="31">
        <v>414.06</v>
      </c>
      <c r="F73" s="29">
        <v>0.37</v>
      </c>
      <c r="G73" s="30">
        <v>0.09</v>
      </c>
      <c r="H73" s="31">
        <v>0.11</v>
      </c>
      <c r="I73" s="29">
        <v>-0.04</v>
      </c>
      <c r="J73" s="30">
        <v>0.01</v>
      </c>
      <c r="K73" s="31">
        <v>0.02</v>
      </c>
      <c r="L73" s="8"/>
    </row>
    <row r="74" spans="1:12" ht="15" customHeight="1" x14ac:dyDescent="0.25">
      <c r="A74" s="193"/>
      <c r="B74" s="14">
        <v>3113</v>
      </c>
      <c r="C74" s="29">
        <v>7148354.0499999998</v>
      </c>
      <c r="D74" s="30">
        <v>513936.89</v>
      </c>
      <c r="E74" s="31">
        <v>414.04</v>
      </c>
      <c r="F74" s="29">
        <v>0.52</v>
      </c>
      <c r="G74" s="30">
        <v>0.15</v>
      </c>
      <c r="H74" s="31">
        <v>7.0000000000000007E-2</v>
      </c>
      <c r="I74" s="29">
        <v>-0.06</v>
      </c>
      <c r="J74" s="30">
        <v>-0.02</v>
      </c>
      <c r="K74" s="31">
        <v>-0.01</v>
      </c>
      <c r="L74" s="8"/>
    </row>
    <row r="75" spans="1:12" ht="15" customHeight="1" x14ac:dyDescent="0.25">
      <c r="A75" s="193"/>
      <c r="B75" s="14">
        <v>3854</v>
      </c>
      <c r="C75" s="29">
        <v>7148354.0499999998</v>
      </c>
      <c r="D75" s="30">
        <v>513937</v>
      </c>
      <c r="E75" s="31">
        <v>414</v>
      </c>
      <c r="F75" s="29">
        <v>0.63</v>
      </c>
      <c r="G75" s="30">
        <v>0.11</v>
      </c>
      <c r="H75" s="31">
        <v>0.05</v>
      </c>
      <c r="I75" s="29">
        <v>-0.1</v>
      </c>
      <c r="J75" s="30">
        <v>-0.04</v>
      </c>
      <c r="K75" s="31">
        <v>-0.02</v>
      </c>
      <c r="L75" s="8"/>
    </row>
    <row r="76" spans="1:12" ht="15" customHeight="1" x14ac:dyDescent="0.25">
      <c r="A76" s="193"/>
      <c r="B76" s="14">
        <v>3921</v>
      </c>
      <c r="C76" s="29">
        <v>7148354.04</v>
      </c>
      <c r="D76" s="30">
        <v>513937.03</v>
      </c>
      <c r="E76" s="31">
        <v>413.97</v>
      </c>
      <c r="F76" s="29">
        <v>0.66</v>
      </c>
      <c r="G76" s="30">
        <v>0.03</v>
      </c>
      <c r="H76" s="31">
        <v>0.19</v>
      </c>
      <c r="I76" s="29">
        <v>-0.13</v>
      </c>
      <c r="J76" s="30">
        <v>-0.03</v>
      </c>
      <c r="K76" s="31">
        <v>-0.17</v>
      </c>
      <c r="L76" s="8"/>
    </row>
    <row r="77" spans="1:12" ht="15" customHeight="1" x14ac:dyDescent="0.25">
      <c r="A77" s="193"/>
      <c r="B77" s="14">
        <v>40766</v>
      </c>
      <c r="C77" s="29">
        <v>7148354.0499999998</v>
      </c>
      <c r="D77" s="30">
        <v>513937.05</v>
      </c>
      <c r="E77" s="31">
        <v>413.97</v>
      </c>
      <c r="F77" s="29">
        <v>0.68</v>
      </c>
      <c r="G77" s="30">
        <v>0.02</v>
      </c>
      <c r="H77" s="31">
        <v>0.02</v>
      </c>
      <c r="I77" s="29">
        <v>-0.13</v>
      </c>
      <c r="J77" s="30">
        <v>0</v>
      </c>
      <c r="K77" s="31">
        <v>0</v>
      </c>
      <c r="L77" s="8"/>
    </row>
    <row r="78" spans="1:12" ht="15" customHeight="1" x14ac:dyDescent="0.25">
      <c r="A78" s="193"/>
      <c r="B78" s="58">
        <v>41127</v>
      </c>
      <c r="C78" s="60">
        <v>7148354.0700000003</v>
      </c>
      <c r="D78" s="53">
        <v>513937.11</v>
      </c>
      <c r="E78" s="54">
        <v>413.94</v>
      </c>
      <c r="F78" s="60">
        <v>0.75</v>
      </c>
      <c r="G78" s="53">
        <v>0.06</v>
      </c>
      <c r="H78" s="54">
        <v>7.0000000000000007E-2</v>
      </c>
      <c r="I78" s="60">
        <v>-0.17</v>
      </c>
      <c r="J78" s="53">
        <v>-0.03</v>
      </c>
      <c r="K78" s="54">
        <v>-0.03</v>
      </c>
      <c r="L78" s="8"/>
    </row>
    <row r="79" spans="1:12" ht="15" customHeight="1" x14ac:dyDescent="0.25">
      <c r="A79" s="77">
        <v>1083</v>
      </c>
      <c r="B79" s="58">
        <v>41883</v>
      </c>
      <c r="C79" s="60">
        <v>7148354.0630000001</v>
      </c>
      <c r="D79" s="53">
        <v>513937.18099999998</v>
      </c>
      <c r="E79" s="54">
        <v>413.92</v>
      </c>
      <c r="F79" s="175">
        <f>F78+G79</f>
        <v>0.82134423594444017</v>
      </c>
      <c r="G79" s="173">
        <f>SQRT(((C79-C78)^2)+((D79-D78)^2))</f>
        <v>7.1344235944440143E-2</v>
      </c>
      <c r="H79" s="174">
        <f>G79/((B79-B78)/365)</f>
        <v>3.4445299100159595E-2</v>
      </c>
      <c r="I79" s="175">
        <f>I78+J79</f>
        <v>-0.18999999999998182</v>
      </c>
      <c r="J79" s="173">
        <f>E79-E78</f>
        <v>-1.999999999998181E-2</v>
      </c>
      <c r="K79" s="174">
        <f>J79/((B79-B78)/365)</f>
        <v>-9.6560846560758747E-3</v>
      </c>
      <c r="L79" s="8"/>
    </row>
    <row r="80" spans="1:12" ht="15" customHeight="1" x14ac:dyDescent="0.25">
      <c r="A80" s="78" t="s">
        <v>38</v>
      </c>
      <c r="B80" s="58">
        <v>41883</v>
      </c>
      <c r="C80" s="42">
        <v>7148354.3480000002</v>
      </c>
      <c r="D80" s="41">
        <v>513937.34499999997</v>
      </c>
      <c r="E80" s="43">
        <v>413.815</v>
      </c>
      <c r="F80" s="42"/>
      <c r="G80" s="41"/>
      <c r="H80" s="43"/>
      <c r="I80" s="42"/>
      <c r="J80" s="41"/>
      <c r="K80" s="43"/>
      <c r="L80" s="8"/>
    </row>
    <row r="81" spans="1:12" ht="15" customHeight="1" x14ac:dyDescent="0.25">
      <c r="A81" s="198" t="s">
        <v>33</v>
      </c>
      <c r="B81" s="13">
        <v>1671</v>
      </c>
      <c r="C81" s="25">
        <v>7148334.7300000004</v>
      </c>
      <c r="D81" s="26">
        <v>513926.88</v>
      </c>
      <c r="E81" s="27">
        <v>417.07</v>
      </c>
      <c r="F81" s="25"/>
      <c r="G81" s="55"/>
      <c r="H81" s="56"/>
      <c r="I81" s="25"/>
      <c r="J81" s="55"/>
      <c r="K81" s="56"/>
      <c r="L81" s="8"/>
    </row>
    <row r="82" spans="1:12" ht="15" customHeight="1" x14ac:dyDescent="0.25">
      <c r="A82" s="199"/>
      <c r="B82" s="14">
        <v>1728</v>
      </c>
      <c r="C82" s="29">
        <v>7148334.7300000004</v>
      </c>
      <c r="D82" s="30">
        <v>513926.88</v>
      </c>
      <c r="E82" s="31">
        <v>417.05</v>
      </c>
      <c r="F82" s="29">
        <v>0</v>
      </c>
      <c r="G82" s="30">
        <v>0</v>
      </c>
      <c r="H82" s="31">
        <v>0.03</v>
      </c>
      <c r="I82" s="29">
        <v>-0.02</v>
      </c>
      <c r="J82" s="30">
        <v>-0.02</v>
      </c>
      <c r="K82" s="31">
        <v>-0.13</v>
      </c>
      <c r="L82" s="8"/>
    </row>
    <row r="83" spans="1:12" ht="15" customHeight="1" x14ac:dyDescent="0.25">
      <c r="A83" s="199"/>
      <c r="B83" s="14">
        <v>2087</v>
      </c>
      <c r="C83" s="29">
        <v>7148334.75</v>
      </c>
      <c r="D83" s="30">
        <v>513926.99</v>
      </c>
      <c r="E83" s="31">
        <v>417.08</v>
      </c>
      <c r="F83" s="29">
        <v>0.1</v>
      </c>
      <c r="G83" s="30">
        <v>0.11</v>
      </c>
      <c r="H83" s="31">
        <v>0.11</v>
      </c>
      <c r="I83" s="29">
        <v>0.01</v>
      </c>
      <c r="J83" s="30">
        <v>0.03</v>
      </c>
      <c r="K83" s="31">
        <v>0.03</v>
      </c>
      <c r="L83" s="8"/>
    </row>
    <row r="84" spans="1:12" ht="15" customHeight="1" x14ac:dyDescent="0.25">
      <c r="A84" s="199"/>
      <c r="B84" s="14">
        <v>2401</v>
      </c>
      <c r="C84" s="29">
        <v>7148334.75</v>
      </c>
      <c r="D84" s="30">
        <v>513927.08</v>
      </c>
      <c r="E84" s="31">
        <v>417.08</v>
      </c>
      <c r="F84" s="29">
        <v>0.2</v>
      </c>
      <c r="G84" s="30">
        <v>0.09</v>
      </c>
      <c r="H84" s="31">
        <v>0.11</v>
      </c>
      <c r="I84" s="29">
        <v>0.02</v>
      </c>
      <c r="J84" s="30">
        <v>0.01</v>
      </c>
      <c r="K84" s="31">
        <v>0.01</v>
      </c>
      <c r="L84" s="8"/>
    </row>
    <row r="85" spans="1:12" ht="15" customHeight="1" x14ac:dyDescent="0.25">
      <c r="A85" s="199"/>
      <c r="B85" s="14">
        <v>3113</v>
      </c>
      <c r="C85" s="29">
        <v>7148334.7400000002</v>
      </c>
      <c r="D85" s="30">
        <v>513927.2</v>
      </c>
      <c r="E85" s="31">
        <v>417.08</v>
      </c>
      <c r="F85" s="29">
        <v>0.32</v>
      </c>
      <c r="G85" s="30">
        <v>0.12</v>
      </c>
      <c r="H85" s="31">
        <v>0.06</v>
      </c>
      <c r="I85" s="29">
        <v>0.01</v>
      </c>
      <c r="J85" s="30">
        <v>0</v>
      </c>
      <c r="K85" s="31">
        <v>0</v>
      </c>
      <c r="L85" s="8"/>
    </row>
    <row r="86" spans="1:12" ht="15" customHeight="1" x14ac:dyDescent="0.25">
      <c r="A86" s="199"/>
      <c r="B86" s="14">
        <v>3854</v>
      </c>
      <c r="C86" s="29">
        <v>7148334.71</v>
      </c>
      <c r="D86" s="30">
        <v>513927.28</v>
      </c>
      <c r="E86" s="31">
        <v>417.04</v>
      </c>
      <c r="F86" s="29">
        <v>0.4</v>
      </c>
      <c r="G86" s="30">
        <v>0.09</v>
      </c>
      <c r="H86" s="31">
        <v>0.04</v>
      </c>
      <c r="I86" s="29">
        <v>-0.03</v>
      </c>
      <c r="J86" s="30">
        <v>-0.04</v>
      </c>
      <c r="K86" s="31">
        <v>-0.02</v>
      </c>
      <c r="L86" s="8"/>
    </row>
    <row r="87" spans="1:12" x14ac:dyDescent="0.25">
      <c r="A87" s="199"/>
      <c r="B87" s="14">
        <v>3921</v>
      </c>
      <c r="C87" s="29">
        <v>7148334.71</v>
      </c>
      <c r="D87" s="30">
        <v>513927.33</v>
      </c>
      <c r="E87" s="31">
        <v>417</v>
      </c>
      <c r="F87" s="29">
        <v>0.44</v>
      </c>
      <c r="G87" s="30">
        <v>0.05</v>
      </c>
      <c r="H87" s="31">
        <v>0.25</v>
      </c>
      <c r="I87" s="29">
        <v>-7.0000000000000007E-2</v>
      </c>
      <c r="J87" s="30">
        <v>-0.04</v>
      </c>
      <c r="K87" s="31">
        <v>-0.23</v>
      </c>
      <c r="L87" s="8"/>
    </row>
    <row r="88" spans="1:12" ht="15" customHeight="1" x14ac:dyDescent="0.25">
      <c r="A88" s="199"/>
      <c r="B88" s="14">
        <v>40766</v>
      </c>
      <c r="C88" s="29">
        <v>7148334.7199999997</v>
      </c>
      <c r="D88" s="30">
        <v>513927.36</v>
      </c>
      <c r="E88" s="31">
        <v>417</v>
      </c>
      <c r="F88" s="29">
        <v>0.48</v>
      </c>
      <c r="G88" s="30">
        <v>0.03</v>
      </c>
      <c r="H88" s="31">
        <v>0.04</v>
      </c>
      <c r="I88" s="29">
        <v>-7.0000000000000007E-2</v>
      </c>
      <c r="J88" s="30">
        <v>0</v>
      </c>
      <c r="K88" s="31">
        <v>0</v>
      </c>
      <c r="L88" s="8"/>
    </row>
    <row r="89" spans="1:12" ht="15" customHeight="1" x14ac:dyDescent="0.25">
      <c r="A89" s="199"/>
      <c r="B89" s="58">
        <v>41127</v>
      </c>
      <c r="C89" s="60">
        <v>7148334.7300000004</v>
      </c>
      <c r="D89" s="53">
        <v>513927.42</v>
      </c>
      <c r="E89" s="54">
        <v>416.98</v>
      </c>
      <c r="F89" s="60">
        <v>0.53</v>
      </c>
      <c r="G89" s="53">
        <v>0.06</v>
      </c>
      <c r="H89" s="54">
        <v>0.06</v>
      </c>
      <c r="I89" s="60">
        <v>-0.09</v>
      </c>
      <c r="J89" s="53">
        <v>-0.02</v>
      </c>
      <c r="K89" s="54">
        <v>-0.02</v>
      </c>
      <c r="L89" s="8"/>
    </row>
    <row r="90" spans="1:12" ht="15" customHeight="1" x14ac:dyDescent="0.25">
      <c r="A90" s="200"/>
      <c r="B90" s="15">
        <v>41883</v>
      </c>
      <c r="C90" s="42">
        <v>7148334.7369999997</v>
      </c>
      <c r="D90" s="41">
        <v>513927.44500000001</v>
      </c>
      <c r="E90" s="43">
        <v>416.959</v>
      </c>
      <c r="F90" s="175">
        <f>F89+G90</f>
        <v>0.55596150980106074</v>
      </c>
      <c r="G90" s="173">
        <f>SQRT(((C90-C89)^2)+((D90-D89)^2))</f>
        <v>2.596150980106075E-2</v>
      </c>
      <c r="H90" s="174">
        <f>G90/((B90-B89)/365)</f>
        <v>1.2534326821940707E-2</v>
      </c>
      <c r="I90" s="175">
        <f>I89+J90</f>
        <v>-0.111000000000015</v>
      </c>
      <c r="J90" s="173">
        <f>E90-E89</f>
        <v>-2.1000000000015007E-2</v>
      </c>
      <c r="K90" s="174">
        <f>J90/((B90-B89)/365)</f>
        <v>-1.0138888888896134E-2</v>
      </c>
      <c r="L90" s="8"/>
    </row>
    <row r="91" spans="1:12" ht="15" customHeight="1" x14ac:dyDescent="0.25">
      <c r="A91" s="198" t="s">
        <v>34</v>
      </c>
      <c r="B91" s="13">
        <v>1671</v>
      </c>
      <c r="C91" s="25">
        <v>7148307.2000000002</v>
      </c>
      <c r="D91" s="26">
        <v>513913</v>
      </c>
      <c r="E91" s="27">
        <v>416.19</v>
      </c>
      <c r="F91" s="25"/>
      <c r="G91" s="55"/>
      <c r="H91" s="56"/>
      <c r="I91" s="25"/>
      <c r="J91" s="55"/>
      <c r="K91" s="56"/>
      <c r="L91" s="8"/>
    </row>
    <row r="92" spans="1:12" ht="15" customHeight="1" x14ac:dyDescent="0.25">
      <c r="A92" s="199"/>
      <c r="B92" s="14">
        <v>1728</v>
      </c>
      <c r="C92" s="29">
        <v>7148307.1900000004</v>
      </c>
      <c r="D92" s="30">
        <v>513912.99</v>
      </c>
      <c r="E92" s="31">
        <v>416.16</v>
      </c>
      <c r="F92" s="29">
        <v>0.02</v>
      </c>
      <c r="G92" s="30">
        <v>0.02</v>
      </c>
      <c r="H92" s="31">
        <v>0.13</v>
      </c>
      <c r="I92" s="29">
        <v>-0.03</v>
      </c>
      <c r="J92" s="30">
        <v>-0.03</v>
      </c>
      <c r="K92" s="31">
        <v>-0.2</v>
      </c>
      <c r="L92" s="8"/>
    </row>
    <row r="93" spans="1:12" ht="15" customHeight="1" x14ac:dyDescent="0.25">
      <c r="A93" s="199"/>
      <c r="B93" s="14">
        <v>2087</v>
      </c>
      <c r="C93" s="29">
        <v>7148307.1399999997</v>
      </c>
      <c r="D93" s="30">
        <v>513913.12</v>
      </c>
      <c r="E93" s="31">
        <v>416.11</v>
      </c>
      <c r="F93" s="29">
        <v>0.13</v>
      </c>
      <c r="G93" s="30">
        <v>0.14000000000000001</v>
      </c>
      <c r="H93" s="31">
        <v>0.14000000000000001</v>
      </c>
      <c r="I93" s="29">
        <v>-0.08</v>
      </c>
      <c r="J93" s="30">
        <v>-0.05</v>
      </c>
      <c r="K93" s="31">
        <v>-0.05</v>
      </c>
      <c r="L93" s="8"/>
    </row>
    <row r="94" spans="1:12" ht="15" customHeight="1" x14ac:dyDescent="0.25">
      <c r="A94" s="199"/>
      <c r="B94" s="14">
        <v>2401</v>
      </c>
      <c r="C94" s="29">
        <v>7148307.1200000001</v>
      </c>
      <c r="D94" s="30">
        <v>513913.19</v>
      </c>
      <c r="E94" s="31">
        <v>416.11</v>
      </c>
      <c r="F94" s="29">
        <v>0.21</v>
      </c>
      <c r="G94" s="30">
        <v>0.08</v>
      </c>
      <c r="H94" s="31">
        <v>0.09</v>
      </c>
      <c r="I94" s="29">
        <v>-0.08</v>
      </c>
      <c r="J94" s="30">
        <v>0.01</v>
      </c>
      <c r="K94" s="31">
        <v>0.01</v>
      </c>
      <c r="L94" s="8"/>
    </row>
    <row r="95" spans="1:12" ht="15" customHeight="1" x14ac:dyDescent="0.25">
      <c r="A95" s="199"/>
      <c r="B95" s="14">
        <v>3113</v>
      </c>
      <c r="C95" s="29">
        <v>7148307.0999999996</v>
      </c>
      <c r="D95" s="30">
        <v>513913.33</v>
      </c>
      <c r="E95" s="31">
        <v>416.07</v>
      </c>
      <c r="F95" s="29">
        <v>0.34</v>
      </c>
      <c r="G95" s="30">
        <v>0.13</v>
      </c>
      <c r="H95" s="31">
        <v>7.0000000000000007E-2</v>
      </c>
      <c r="I95" s="29">
        <v>-0.13</v>
      </c>
      <c r="J95" s="30">
        <v>-0.05</v>
      </c>
      <c r="K95" s="31">
        <v>-0.02</v>
      </c>
      <c r="L95" s="8"/>
    </row>
    <row r="96" spans="1:12" ht="15" customHeight="1" x14ac:dyDescent="0.25">
      <c r="A96" s="199"/>
      <c r="B96" s="14">
        <v>3854</v>
      </c>
      <c r="C96" s="29">
        <v>7148307</v>
      </c>
      <c r="D96" s="30">
        <v>513913.43</v>
      </c>
      <c r="E96" s="31">
        <v>415.98</v>
      </c>
      <c r="F96" s="29">
        <v>0.47</v>
      </c>
      <c r="G96" s="30">
        <v>0.14000000000000001</v>
      </c>
      <c r="H96" s="31">
        <v>7.0000000000000007E-2</v>
      </c>
      <c r="I96" s="29">
        <v>-0.21</v>
      </c>
      <c r="J96" s="30">
        <v>-0.08</v>
      </c>
      <c r="K96" s="31">
        <v>-0.04</v>
      </c>
      <c r="L96" s="8"/>
    </row>
    <row r="97" spans="1:11" x14ac:dyDescent="0.25">
      <c r="A97" s="199"/>
      <c r="B97" s="14">
        <v>3921</v>
      </c>
      <c r="C97" s="29">
        <v>7148307.0099999998</v>
      </c>
      <c r="D97" s="30">
        <v>513913.47</v>
      </c>
      <c r="E97" s="31">
        <v>415.94</v>
      </c>
      <c r="F97" s="29">
        <v>0.5</v>
      </c>
      <c r="G97" s="30">
        <v>0.04</v>
      </c>
      <c r="H97" s="31">
        <v>0.21</v>
      </c>
      <c r="I97" s="29">
        <v>-0.25</v>
      </c>
      <c r="J97" s="30">
        <v>-0.05</v>
      </c>
      <c r="K97" s="31">
        <v>-0.25</v>
      </c>
    </row>
    <row r="98" spans="1:11" x14ac:dyDescent="0.25">
      <c r="A98" s="199"/>
      <c r="B98" s="14">
        <v>40766</v>
      </c>
      <c r="C98" s="29">
        <v>7148306.9900000002</v>
      </c>
      <c r="D98" s="30">
        <v>513913.5</v>
      </c>
      <c r="E98" s="31">
        <v>415.92</v>
      </c>
      <c r="F98" s="29">
        <v>0.54</v>
      </c>
      <c r="G98" s="30">
        <v>0.04</v>
      </c>
      <c r="H98" s="31">
        <v>0.04</v>
      </c>
      <c r="I98" s="29">
        <v>-0.27</v>
      </c>
      <c r="J98" s="30">
        <v>-0.01</v>
      </c>
      <c r="K98" s="31">
        <v>-0.01</v>
      </c>
    </row>
    <row r="99" spans="1:11" x14ac:dyDescent="0.25">
      <c r="A99" s="199"/>
      <c r="B99" s="58">
        <v>41127</v>
      </c>
      <c r="C99" s="60">
        <v>7148307</v>
      </c>
      <c r="D99" s="53">
        <v>513913.56</v>
      </c>
      <c r="E99" s="54">
        <v>415.89</v>
      </c>
      <c r="F99" s="60">
        <v>0.59</v>
      </c>
      <c r="G99" s="53">
        <v>0.06</v>
      </c>
      <c r="H99" s="54">
        <v>0.06</v>
      </c>
      <c r="I99" s="60">
        <v>-0.3</v>
      </c>
      <c r="J99" s="53">
        <v>-0.03</v>
      </c>
      <c r="K99" s="54">
        <v>-0.03</v>
      </c>
    </row>
    <row r="100" spans="1:11" x14ac:dyDescent="0.25">
      <c r="A100" s="200"/>
      <c r="B100" s="15">
        <v>41883</v>
      </c>
      <c r="C100" s="42">
        <v>7148306.983</v>
      </c>
      <c r="D100" s="41">
        <v>513913.60399999999</v>
      </c>
      <c r="E100" s="43">
        <v>415.86</v>
      </c>
      <c r="F100" s="175">
        <f>F99+G100</f>
        <v>0.6371699056523854</v>
      </c>
      <c r="G100" s="173">
        <f>SQRT(((C100-C99)^2)+((D100-D99)^2))</f>
        <v>4.7169905652385422E-2</v>
      </c>
      <c r="H100" s="174">
        <f>G100/((B100-B99)/365)</f>
        <v>2.277383010994799E-2</v>
      </c>
      <c r="I100" s="175">
        <f>I99+J100</f>
        <v>-0.3299999999999727</v>
      </c>
      <c r="J100" s="173">
        <f>E100-E99</f>
        <v>-2.9999999999972715E-2</v>
      </c>
      <c r="K100" s="174">
        <f>J100/((B100-B99)/365)</f>
        <v>-1.4484126984113811E-2</v>
      </c>
    </row>
    <row r="101" spans="1:11" x14ac:dyDescent="0.25">
      <c r="A101" s="198" t="s">
        <v>35</v>
      </c>
      <c r="B101" s="13">
        <v>1671</v>
      </c>
      <c r="C101" s="25">
        <v>7148275.21</v>
      </c>
      <c r="D101" s="26">
        <v>513896.96000000002</v>
      </c>
      <c r="E101" s="27">
        <v>415.46</v>
      </c>
      <c r="F101" s="25"/>
      <c r="G101" s="55"/>
      <c r="H101" s="56"/>
      <c r="I101" s="25"/>
      <c r="J101" s="55"/>
      <c r="K101" s="56"/>
    </row>
    <row r="102" spans="1:11" x14ac:dyDescent="0.25">
      <c r="A102" s="199"/>
      <c r="B102" s="14">
        <v>1728</v>
      </c>
      <c r="C102" s="29">
        <v>7148275.1699999999</v>
      </c>
      <c r="D102" s="30">
        <v>513896.96000000002</v>
      </c>
      <c r="E102" s="31">
        <v>415.42</v>
      </c>
      <c r="F102" s="29">
        <v>0.04</v>
      </c>
      <c r="G102" s="30">
        <v>0.04</v>
      </c>
      <c r="H102" s="31">
        <v>0.26</v>
      </c>
      <c r="I102" s="29">
        <v>-0.04</v>
      </c>
      <c r="J102" s="30">
        <v>-0.04</v>
      </c>
      <c r="K102" s="31">
        <v>-0.26</v>
      </c>
    </row>
    <row r="103" spans="1:11" x14ac:dyDescent="0.25">
      <c r="A103" s="199"/>
      <c r="B103" s="14">
        <v>2087</v>
      </c>
      <c r="C103" s="29">
        <v>7148275.1600000001</v>
      </c>
      <c r="D103" s="30">
        <v>513897.05</v>
      </c>
      <c r="E103" s="31">
        <v>415.39</v>
      </c>
      <c r="F103" s="29">
        <v>0.1</v>
      </c>
      <c r="G103" s="30">
        <v>0.08</v>
      </c>
      <c r="H103" s="31">
        <v>0.08</v>
      </c>
      <c r="I103" s="29">
        <v>-7.0000000000000007E-2</v>
      </c>
      <c r="J103" s="30">
        <v>-0.03</v>
      </c>
      <c r="K103" s="31">
        <v>-0.03</v>
      </c>
    </row>
    <row r="104" spans="1:11" x14ac:dyDescent="0.25">
      <c r="A104" s="199"/>
      <c r="B104" s="14">
        <v>2401</v>
      </c>
      <c r="C104" s="29">
        <v>7148275.1399999997</v>
      </c>
      <c r="D104" s="30">
        <v>513897.1</v>
      </c>
      <c r="E104" s="31">
        <v>415.41</v>
      </c>
      <c r="F104" s="29">
        <v>0.16</v>
      </c>
      <c r="G104" s="30">
        <v>0.06</v>
      </c>
      <c r="H104" s="31">
        <v>7.0000000000000007E-2</v>
      </c>
      <c r="I104" s="29">
        <v>-0.04</v>
      </c>
      <c r="J104" s="30">
        <v>0.03</v>
      </c>
      <c r="K104" s="31">
        <v>0.03</v>
      </c>
    </row>
    <row r="105" spans="1:11" x14ac:dyDescent="0.25">
      <c r="A105" s="199"/>
      <c r="B105" s="14">
        <v>3113</v>
      </c>
      <c r="C105" s="29">
        <v>7148275.1100000003</v>
      </c>
      <c r="D105" s="30">
        <v>513897.19</v>
      </c>
      <c r="E105" s="31">
        <v>415.4</v>
      </c>
      <c r="F105" s="29">
        <v>0.26</v>
      </c>
      <c r="G105" s="30">
        <v>0.09</v>
      </c>
      <c r="H105" s="31">
        <v>0.05</v>
      </c>
      <c r="I105" s="29">
        <v>-0.06</v>
      </c>
      <c r="J105" s="30">
        <v>-0.02</v>
      </c>
      <c r="K105" s="31">
        <v>-0.01</v>
      </c>
    </row>
    <row r="106" spans="1:11" x14ac:dyDescent="0.25">
      <c r="A106" s="199"/>
      <c r="B106" s="14">
        <v>3854</v>
      </c>
      <c r="C106" s="29">
        <v>7148275.0499999998</v>
      </c>
      <c r="D106" s="30">
        <v>513897.28</v>
      </c>
      <c r="E106" s="31">
        <v>415.33</v>
      </c>
      <c r="F106" s="29">
        <v>0.36</v>
      </c>
      <c r="G106" s="30">
        <v>0.1</v>
      </c>
      <c r="H106" s="31">
        <v>0.05</v>
      </c>
      <c r="I106" s="29">
        <v>-0.12</v>
      </c>
      <c r="J106" s="30">
        <v>-0.06</v>
      </c>
      <c r="K106" s="31">
        <v>-0.03</v>
      </c>
    </row>
    <row r="107" spans="1:11" x14ac:dyDescent="0.25">
      <c r="A107" s="199"/>
      <c r="B107" s="14">
        <v>3921</v>
      </c>
      <c r="C107" s="29">
        <v>7148275.0300000003</v>
      </c>
      <c r="D107" s="30">
        <v>513897.32</v>
      </c>
      <c r="E107" s="31">
        <v>415.27</v>
      </c>
      <c r="F107" s="29">
        <v>0.41</v>
      </c>
      <c r="G107" s="30">
        <v>0.05</v>
      </c>
      <c r="H107" s="31">
        <v>0.25</v>
      </c>
      <c r="I107" s="29">
        <v>-0.19</v>
      </c>
      <c r="J107" s="30">
        <v>-0.06</v>
      </c>
      <c r="K107" s="31">
        <v>-0.34</v>
      </c>
    </row>
    <row r="108" spans="1:11" x14ac:dyDescent="0.25">
      <c r="A108" s="199"/>
      <c r="B108" s="14">
        <v>40766</v>
      </c>
      <c r="C108" s="29">
        <v>7148275.0099999998</v>
      </c>
      <c r="D108" s="30">
        <v>513897.34</v>
      </c>
      <c r="E108" s="31">
        <v>415.27</v>
      </c>
      <c r="F108" s="29">
        <v>0.43</v>
      </c>
      <c r="G108" s="30">
        <v>0.02</v>
      </c>
      <c r="H108" s="31">
        <v>0.03</v>
      </c>
      <c r="I108" s="29">
        <v>-0.19</v>
      </c>
      <c r="J108" s="30">
        <v>0</v>
      </c>
      <c r="K108" s="31">
        <v>0</v>
      </c>
    </row>
    <row r="109" spans="1:11" x14ac:dyDescent="0.25">
      <c r="A109" s="199"/>
      <c r="B109" s="58">
        <v>41127</v>
      </c>
      <c r="C109" s="60">
        <v>7148275.0199999996</v>
      </c>
      <c r="D109" s="53">
        <v>513897.39</v>
      </c>
      <c r="E109" s="54">
        <v>415.23</v>
      </c>
      <c r="F109" s="60">
        <v>0.47</v>
      </c>
      <c r="G109" s="53">
        <v>0.05</v>
      </c>
      <c r="H109" s="54">
        <v>0.05</v>
      </c>
      <c r="I109" s="60">
        <v>-0.23</v>
      </c>
      <c r="J109" s="53">
        <v>-0.04</v>
      </c>
      <c r="K109" s="54">
        <v>-0.04</v>
      </c>
    </row>
    <row r="110" spans="1:11" x14ac:dyDescent="0.25">
      <c r="A110" s="200"/>
      <c r="B110" s="15">
        <v>41883</v>
      </c>
      <c r="C110" s="61">
        <v>7148274.9989999998</v>
      </c>
      <c r="D110" s="57">
        <v>513897.41100000002</v>
      </c>
      <c r="E110" s="62">
        <v>415.18</v>
      </c>
      <c r="F110" s="176">
        <f>F109+G110</f>
        <v>0.49969848461523508</v>
      </c>
      <c r="G110" s="177">
        <f>SQRT(((C110-C109)^2)+((D110-D109)^2))</f>
        <v>2.9698484615235096E-2</v>
      </c>
      <c r="H110" s="178">
        <f>G110/((B110-B109)/365)</f>
        <v>1.4338554080106891E-2</v>
      </c>
      <c r="I110" s="176">
        <f>I109+J110</f>
        <v>-0.28000000000001135</v>
      </c>
      <c r="J110" s="177">
        <f>E110-E109</f>
        <v>-5.0000000000011369E-2</v>
      </c>
      <c r="K110" s="178">
        <f>J110/((B110-B109)/365)</f>
        <v>-2.4140211640217131E-2</v>
      </c>
    </row>
  </sheetData>
  <mergeCells count="14">
    <mergeCell ref="A91:A100"/>
    <mergeCell ref="A101:A110"/>
    <mergeCell ref="A2:A3"/>
    <mergeCell ref="B2:B3"/>
    <mergeCell ref="C2:E2"/>
    <mergeCell ref="A4:A23"/>
    <mergeCell ref="A48:A58"/>
    <mergeCell ref="A69:A78"/>
    <mergeCell ref="A1:K1"/>
    <mergeCell ref="A24:A47"/>
    <mergeCell ref="A59:A68"/>
    <mergeCell ref="A81:A90"/>
    <mergeCell ref="F2:H2"/>
    <mergeCell ref="I2:K2"/>
  </mergeCells>
  <pageMargins left="1.25" right="1.25" top="1" bottom="0.74583333333333302" header="0.25" footer="0.25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</vt:lpstr>
      <vt:lpstr>Upper Slope</vt:lpstr>
      <vt:lpstr>Mid Slope</vt:lpstr>
      <vt:lpstr>Lower Slope</vt:lpstr>
      <vt:lpstr>SUMMARY!Print_Area</vt:lpstr>
      <vt:lpstr>'Lower Slope'!Print_Titles</vt:lpstr>
      <vt:lpstr>'Mid Slope'!Print_Titles</vt:lpstr>
      <vt:lpstr>'Upper Slope'!Print_Titles</vt:lpstr>
    </vt:vector>
  </TitlesOfParts>
  <Company>Tetra 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Dreger, Colin</dc:creator>
  <cp:lastModifiedBy>Dreger, Colin</cp:lastModifiedBy>
  <cp:lastPrinted>2016-02-25T00:46:44Z</cp:lastPrinted>
  <dcterms:created xsi:type="dcterms:W3CDTF">2016-02-11T01:21:08Z</dcterms:created>
  <dcterms:modified xsi:type="dcterms:W3CDTF">2016-02-25T00:46:57Z</dcterms:modified>
</cp:coreProperties>
</file>