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60" yWindow="15" windowWidth="15600" windowHeight="10620" activeTab="4"/>
  </bookViews>
  <sheets>
    <sheet name="Well Condition" sheetId="1" r:id="rId1"/>
    <sheet name="HC Results" sheetId="4" r:id="rId2"/>
    <sheet name="Work Completed" sheetId="5" r:id="rId3"/>
    <sheet name="HC Input Data" sheetId="7" r:id="rId4"/>
    <sheet name="Chemistry" sheetId="8" r:id="rId5"/>
  </sheets>
  <definedNames>
    <definedName name="_xlnm.Print_Area" localSheetId="0">'Well Condition'!$A$1:$K$57</definedName>
    <definedName name="_xlnm.Print_Titles" localSheetId="4">Chemistry!$1:$8</definedName>
    <definedName name="_xlnm.Print_Titles" localSheetId="2">'Work Completed'!$1:$4</definedName>
  </definedNames>
  <calcPr calcId="145621"/>
</workbook>
</file>

<file path=xl/calcChain.xml><?xml version="1.0" encoding="utf-8"?>
<calcChain xmlns="http://schemas.openxmlformats.org/spreadsheetml/2006/main">
  <c r="B44" i="7" l="1"/>
  <c r="B43" i="7"/>
  <c r="F42" i="7"/>
  <c r="B42" i="7"/>
  <c r="E41" i="7"/>
  <c r="B41" i="7"/>
  <c r="E40" i="7"/>
  <c r="B40" i="7"/>
  <c r="E39" i="7"/>
  <c r="B39" i="7"/>
  <c r="B38" i="7"/>
  <c r="B37" i="7"/>
  <c r="B36" i="7"/>
  <c r="B35" i="7"/>
  <c r="B34" i="7"/>
  <c r="B33" i="7"/>
  <c r="F32" i="7"/>
  <c r="B32" i="7"/>
  <c r="E31" i="7"/>
  <c r="B31" i="7"/>
  <c r="B30" i="7"/>
  <c r="F29" i="7"/>
  <c r="B29" i="7"/>
  <c r="F28" i="7"/>
  <c r="E28" i="7"/>
  <c r="B28" i="7"/>
  <c r="F27" i="7"/>
  <c r="B27" i="7"/>
  <c r="F26" i="7"/>
  <c r="B26" i="7"/>
  <c r="F25" i="7"/>
  <c r="E25" i="7"/>
  <c r="B25" i="7"/>
  <c r="F24" i="7"/>
  <c r="E24" i="7"/>
  <c r="B24" i="7"/>
  <c r="F23" i="7"/>
  <c r="E23" i="7"/>
  <c r="B23" i="7"/>
  <c r="F22" i="7"/>
  <c r="E22" i="7"/>
  <c r="B22" i="7"/>
  <c r="E21" i="7"/>
  <c r="B21" i="7"/>
  <c r="E20" i="7"/>
  <c r="B20" i="7"/>
  <c r="E19" i="7"/>
  <c r="B19" i="7"/>
  <c r="F18" i="7"/>
  <c r="E18" i="7"/>
  <c r="B18" i="7"/>
  <c r="F17" i="7"/>
  <c r="E17" i="7"/>
  <c r="B17" i="7"/>
  <c r="E16" i="7"/>
  <c r="B16" i="7"/>
  <c r="E15" i="7"/>
  <c r="B15" i="7"/>
  <c r="E14" i="7"/>
  <c r="B14" i="7"/>
  <c r="E13" i="7"/>
  <c r="B13" i="7"/>
  <c r="E12" i="7"/>
  <c r="B12" i="7"/>
  <c r="E11" i="7"/>
  <c r="B11" i="7"/>
  <c r="E10" i="7"/>
  <c r="E9" i="7"/>
  <c r="F7" i="7"/>
  <c r="B7" i="7"/>
  <c r="F6" i="7"/>
  <c r="B6" i="7"/>
  <c r="F5" i="7"/>
  <c r="B5" i="7"/>
  <c r="F4" i="7"/>
  <c r="B4" i="7"/>
  <c r="H47" i="1"/>
  <c r="G47" i="1"/>
  <c r="H33" i="1"/>
  <c r="G33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1" i="1"/>
  <c r="H19" i="1"/>
  <c r="G19" i="1"/>
  <c r="H18" i="1"/>
  <c r="G18" i="1"/>
  <c r="H8" i="1"/>
  <c r="G8" i="1"/>
  <c r="H7" i="1"/>
  <c r="G7" i="1"/>
  <c r="H6" i="1"/>
  <c r="G6" i="1"/>
  <c r="H5" i="1"/>
  <c r="G5" i="1"/>
  <c r="B19" i="4"/>
  <c r="B18" i="4"/>
  <c r="B17" i="4"/>
  <c r="B16" i="4"/>
  <c r="B15" i="4"/>
  <c r="B13" i="4"/>
  <c r="C9" i="4"/>
</calcChain>
</file>

<file path=xl/comments1.xml><?xml version="1.0" encoding="utf-8"?>
<comments xmlns="http://schemas.openxmlformats.org/spreadsheetml/2006/main">
  <authors>
    <author>Information Technology</author>
  </authors>
  <commentList>
    <comment ref="AC60" authorId="0">
      <text>
        <r>
          <rPr>
            <b/>
            <sz val="8"/>
            <color indexed="81"/>
            <rFont val="Tahoma"/>
            <family val="2"/>
          </rPr>
          <t>Information Technology:</t>
        </r>
        <r>
          <rPr>
            <sz val="8"/>
            <color indexed="81"/>
            <rFont val="Tahoma"/>
            <family val="2"/>
          </rPr>
          <t xml:space="preserve">
Conservative guideline - ultra oligotrophic lifeforms</t>
        </r>
      </text>
    </comment>
    <comment ref="Z75" authorId="0">
      <text>
        <r>
          <rPr>
            <b/>
            <sz val="8"/>
            <color indexed="81"/>
            <rFont val="Tahoma"/>
            <family val="2"/>
          </rPr>
          <t>Information Technology:</t>
        </r>
        <r>
          <rPr>
            <sz val="8"/>
            <color indexed="81"/>
            <rFont val="Tahoma"/>
            <family val="2"/>
          </rPr>
          <t xml:space="preserve">
dependant on hardness</t>
        </r>
      </text>
    </comment>
    <comment ref="Z103" authorId="0">
      <text>
        <r>
          <rPr>
            <b/>
            <sz val="8"/>
            <color indexed="81"/>
            <rFont val="Tahoma"/>
            <family val="2"/>
          </rPr>
          <t>Information Technology:</t>
        </r>
        <r>
          <rPr>
            <sz val="8"/>
            <color indexed="81"/>
            <rFont val="Tahoma"/>
            <family val="2"/>
          </rPr>
          <t xml:space="preserve">
dependant on hardness</t>
        </r>
      </text>
    </comment>
  </commentList>
</comments>
</file>

<file path=xl/sharedStrings.xml><?xml version="1.0" encoding="utf-8"?>
<sst xmlns="http://schemas.openxmlformats.org/spreadsheetml/2006/main" count="1170" uniqueCount="375">
  <si>
    <t>Well ID</t>
  </si>
  <si>
    <t>Field Work Completed</t>
  </si>
  <si>
    <t>Comments</t>
  </si>
  <si>
    <t>Hydraulic Test</t>
  </si>
  <si>
    <t xml:space="preserve">Instrumentation </t>
  </si>
  <si>
    <t>Type</t>
  </si>
  <si>
    <t>Suspension Type</t>
  </si>
  <si>
    <t>Downloaded (Y/N)</t>
  </si>
  <si>
    <t>MW09-01</t>
  </si>
  <si>
    <t>Slug/bail</t>
  </si>
  <si>
    <t>-</t>
  </si>
  <si>
    <t>Cap missing</t>
  </si>
  <si>
    <t>MW09-02</t>
  </si>
  <si>
    <t>MW09-03</t>
  </si>
  <si>
    <t>Solinst Levelogger</t>
  </si>
  <si>
    <t>Wireline cable</t>
  </si>
  <si>
    <t>Y</t>
  </si>
  <si>
    <t>MW09-04</t>
  </si>
  <si>
    <t>MW09-05</t>
  </si>
  <si>
    <t>Wells inaccessible - submerged</t>
  </si>
  <si>
    <t>MW09-06</t>
  </si>
  <si>
    <t>MW09-07</t>
  </si>
  <si>
    <t>MW09-08</t>
  </si>
  <si>
    <t xml:space="preserve">Frozen </t>
  </si>
  <si>
    <t>MW09-11</t>
  </si>
  <si>
    <t>Frozen</t>
  </si>
  <si>
    <t>MW09-13</t>
  </si>
  <si>
    <t>MW09-14</t>
  </si>
  <si>
    <t>MW09-15</t>
  </si>
  <si>
    <t>Direct read cable</t>
  </si>
  <si>
    <t>MW09-16</t>
  </si>
  <si>
    <t>Frozen @ 2.59m</t>
  </si>
  <si>
    <t>MW09-17</t>
  </si>
  <si>
    <t>Bail</t>
  </si>
  <si>
    <t>MW09-18</t>
  </si>
  <si>
    <t>MW09-19</t>
  </si>
  <si>
    <t xml:space="preserve">Frozen @ 2.40m </t>
  </si>
  <si>
    <t>MW09-20</t>
  </si>
  <si>
    <t xml:space="preserve">Dry </t>
  </si>
  <si>
    <t>MW09-21</t>
  </si>
  <si>
    <t>N</t>
  </si>
  <si>
    <t>MW09-22</t>
  </si>
  <si>
    <t>MW09-23</t>
  </si>
  <si>
    <t>MW09-24</t>
  </si>
  <si>
    <t>MP09-01</t>
  </si>
  <si>
    <t>"Micro" piezometer</t>
  </si>
  <si>
    <t>MP09-02</t>
  </si>
  <si>
    <t>MP09-03</t>
  </si>
  <si>
    <t>"Micro" piezometer. Dry/frozen?</t>
  </si>
  <si>
    <t>MP09-04</t>
  </si>
  <si>
    <t>MP09-05</t>
  </si>
  <si>
    <t>MP09-06</t>
  </si>
  <si>
    <t>Destroyed (see photo)</t>
  </si>
  <si>
    <t>MP09-07</t>
  </si>
  <si>
    <t>Well not found, assumed destroyed</t>
  </si>
  <si>
    <t>MP09-08</t>
  </si>
  <si>
    <t>MP09-09</t>
  </si>
  <si>
    <t>Frozen @ 2.175m</t>
  </si>
  <si>
    <t>MP09-10</t>
  </si>
  <si>
    <t>MP09-11</t>
  </si>
  <si>
    <t>Frozen @ 2.125m</t>
  </si>
  <si>
    <t>MP09-12</t>
  </si>
  <si>
    <t>Frozen @ 2.09m</t>
  </si>
  <si>
    <t>MP09-13</t>
  </si>
  <si>
    <t>MP09-14</t>
  </si>
  <si>
    <t>GLL07-01</t>
  </si>
  <si>
    <r>
      <t>Nylon Cord</t>
    </r>
    <r>
      <rPr>
        <vertAlign val="superscript"/>
        <sz val="10"/>
        <rFont val="Arial"/>
        <family val="2"/>
      </rPr>
      <t>1</t>
    </r>
  </si>
  <si>
    <t>GLL07-02</t>
  </si>
  <si>
    <t>Dry</t>
  </si>
  <si>
    <t>GLL07-03</t>
  </si>
  <si>
    <t>Solinst Levelogger and Baralogger</t>
  </si>
  <si>
    <t>Direct read cable, and zip tie</t>
  </si>
  <si>
    <t>Direct Read Cable</t>
  </si>
  <si>
    <t>TH09-01</t>
  </si>
  <si>
    <t>Well not found</t>
  </si>
  <si>
    <t xml:space="preserve">Seepage pond </t>
  </si>
  <si>
    <t>See photo for location</t>
  </si>
  <si>
    <t>Seepage outlet</t>
  </si>
  <si>
    <t>Unknown 1</t>
  </si>
  <si>
    <t>&lt;0.3 m water in well</t>
  </si>
  <si>
    <t>Unknown 2</t>
  </si>
  <si>
    <t>Frozen at 1.40 m</t>
  </si>
  <si>
    <t>Unknown 3</t>
  </si>
  <si>
    <t>Could not open</t>
  </si>
  <si>
    <t>NOTES</t>
  </si>
  <si>
    <t>"-" indicates information not available/relevent</t>
  </si>
  <si>
    <t xml:space="preserve">MW09-09, MW09-10, and MW09-12 do not exist </t>
  </si>
  <si>
    <t>1. Nylon cord was observed to be frayed</t>
  </si>
  <si>
    <t xml:space="preserve">Table XX: Measured Hydraulic Conductivity </t>
  </si>
  <si>
    <t>EBA 2012</t>
  </si>
  <si>
    <t>AECOM 2007</t>
  </si>
  <si>
    <t>Lithology (from AECOM well logs)</t>
  </si>
  <si>
    <t>Hydraulic Conductivity</t>
  </si>
  <si>
    <t>m/s</t>
  </si>
  <si>
    <t>BEDROCK</t>
  </si>
  <si>
    <t>SAND</t>
  </si>
  <si>
    <t>SAND, silty (tailings)</t>
  </si>
  <si>
    <t>SAND, silty</t>
  </si>
  <si>
    <t>SAND, silty (tailings)/CLAY (tailings)</t>
  </si>
  <si>
    <t>DIORITE (BEDROCK), highly weathered</t>
  </si>
  <si>
    <t>GRAVEL, some clay, silt and sand/BEDROCK</t>
  </si>
  <si>
    <t>SAND and GRAVEL, trace clay</t>
  </si>
  <si>
    <t>SAND, some gravel, trace silt</t>
  </si>
  <si>
    <t>SAND and GRAVEL (fill), trace silt</t>
  </si>
  <si>
    <t>SAND, trace silt, trace gravel</t>
  </si>
  <si>
    <t>unknown</t>
  </si>
  <si>
    <t>Location</t>
  </si>
  <si>
    <t>Well Diameter (inches)</t>
  </si>
  <si>
    <t>Date</t>
  </si>
  <si>
    <t>Depth to Water   (m bgs)</t>
  </si>
  <si>
    <t>Depth to bottom (m bgs)</t>
  </si>
  <si>
    <t>Reference Stick-up    (m ags)</t>
  </si>
  <si>
    <t>Relative Recharge Rate</t>
  </si>
  <si>
    <t>Observed Well Condition</t>
  </si>
  <si>
    <t>Location Description</t>
  </si>
  <si>
    <r>
      <t>Coordinates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</si>
  <si>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 xml:space="preserve">Easting </t>
  </si>
  <si>
    <t xml:space="preserve">Northing </t>
  </si>
  <si>
    <t>Tailings pond - southeast</t>
  </si>
  <si>
    <t xml:space="preserve">Slow </t>
  </si>
  <si>
    <t>Missing well cap</t>
  </si>
  <si>
    <t>Good</t>
  </si>
  <si>
    <r>
      <t>-</t>
    </r>
    <r>
      <rPr>
        <vertAlign val="superscript"/>
        <sz val="10"/>
        <rFont val="Arial"/>
        <family val="2"/>
      </rPr>
      <t>2</t>
    </r>
  </si>
  <si>
    <t>Submerged</t>
  </si>
  <si>
    <t>Below seepage pond</t>
  </si>
  <si>
    <r>
      <t>FR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- 1.07</t>
    </r>
  </si>
  <si>
    <t>Sands above tailings pond</t>
  </si>
  <si>
    <r>
      <t>DR</t>
    </r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- 4.09</t>
    </r>
  </si>
  <si>
    <t>Well dry</t>
  </si>
  <si>
    <t>Waste rock east of open pit</t>
  </si>
  <si>
    <t>FR - 8.23</t>
  </si>
  <si>
    <t>Well frozen</t>
  </si>
  <si>
    <t>FR - 4.41</t>
  </si>
  <si>
    <t>FR - 13.22</t>
  </si>
  <si>
    <t>Levelogger frozen in place on direct read cable. Cap off.</t>
  </si>
  <si>
    <t>East of mill</t>
  </si>
  <si>
    <t>FR - 0.40</t>
  </si>
  <si>
    <t xml:space="preserve">Fast </t>
  </si>
  <si>
    <t xml:space="preserve">FR - 0.88 </t>
  </si>
  <si>
    <t>Seepage pond crest</t>
  </si>
  <si>
    <t>DR - 2.75</t>
  </si>
  <si>
    <t>Between tailings dam and seepage pond</t>
  </si>
  <si>
    <t>FR - 0.90</t>
  </si>
  <si>
    <t>Levelogger frozen in place on cable</t>
  </si>
  <si>
    <t>Tailings pond dam</t>
  </si>
  <si>
    <t>Tailing dam crest</t>
  </si>
  <si>
    <t>Sand north of seepage pond</t>
  </si>
  <si>
    <t>Pony Creek - upper creek north of Ketza shop</t>
  </si>
  <si>
    <t>Pony Creek - middle creek west of u/s sampling point</t>
  </si>
  <si>
    <t>Pony Creek - at u/s sampling point</t>
  </si>
  <si>
    <t>V.Slow</t>
  </si>
  <si>
    <t>Possibly damaged - no water recovered</t>
  </si>
  <si>
    <t>North of seepage pond</t>
  </si>
  <si>
    <t>West end of seepage pond</t>
  </si>
  <si>
    <t>Diversion channel bridge</t>
  </si>
  <si>
    <t>Well destroyed</t>
  </si>
  <si>
    <t>Diversion channel</t>
  </si>
  <si>
    <t>Pony Creek - east of d/s sampling point</t>
  </si>
  <si>
    <t>Slow</t>
  </si>
  <si>
    <t>Strong sulphur odour to water</t>
  </si>
  <si>
    <t>Tailings - west end</t>
  </si>
  <si>
    <t>FR - 0.45</t>
  </si>
  <si>
    <t>FR - 0.23</t>
  </si>
  <si>
    <t>FR - 0.83</t>
  </si>
  <si>
    <t>FR - 0.80</t>
  </si>
  <si>
    <t>Diversion channel dome inlet</t>
  </si>
  <si>
    <t>Tailings pond - northwest</t>
  </si>
  <si>
    <t>FR ~0.10</t>
  </si>
  <si>
    <t>~0.90</t>
  </si>
  <si>
    <t>FR - 12.15</t>
  </si>
  <si>
    <t>Levelogger frozen in place on cord</t>
  </si>
  <si>
    <t>Pony Creek addit</t>
  </si>
  <si>
    <t>DR - 5.75</t>
  </si>
  <si>
    <t>Open - no cap</t>
  </si>
  <si>
    <t>Open pit</t>
  </si>
  <si>
    <t>FR - 1.52</t>
  </si>
  <si>
    <t>Levelogger frozen in place on direct read cable</t>
  </si>
  <si>
    <t>Tailings area?</t>
  </si>
  <si>
    <t>Does not exist</t>
  </si>
  <si>
    <t>Pit Transducer</t>
  </si>
  <si>
    <t>Open pit lake</t>
  </si>
  <si>
    <t>Sampled near pumphouse</t>
  </si>
  <si>
    <t>Some ice on surface</t>
  </si>
  <si>
    <t>Flowing</t>
  </si>
  <si>
    <t>No information on istallation/purpose</t>
  </si>
  <si>
    <t>FR - 0.97</t>
  </si>
  <si>
    <t>Could not remove cap</t>
  </si>
  <si>
    <t>1. All coordinates given in NAD83, Zone 08V ±5 m</t>
  </si>
  <si>
    <t>2. "-" indicates information not available/relevent</t>
  </si>
  <si>
    <t>3. FR - indicates frozen at given depth at time of sampling event</t>
  </si>
  <si>
    <t>4. DR - indicates dry at given depth at time of sampling even</t>
  </si>
  <si>
    <t xml:space="preserve">5. MW09-09, MW09-10, and MW09-12 do not exist </t>
  </si>
  <si>
    <t>Well Diameter</t>
  </si>
  <si>
    <t>Well Depth</t>
  </si>
  <si>
    <t>Depth to Water</t>
  </si>
  <si>
    <t>Screen Length</t>
  </si>
  <si>
    <t>Standing Water Column June 2012</t>
  </si>
  <si>
    <t>mm</t>
  </si>
  <si>
    <t>m bgs</t>
  </si>
  <si>
    <t>m</t>
  </si>
  <si>
    <t>Well was inaccessible during site visit</t>
  </si>
  <si>
    <t>FR3 - 1.07</t>
  </si>
  <si>
    <t>DR4 - 4.09</t>
  </si>
  <si>
    <t>Dry well</t>
  </si>
  <si>
    <t>Well not intended for hydraulic testing</t>
  </si>
  <si>
    <t>Well not included in sampling round request</t>
  </si>
  <si>
    <t>Could not open well</t>
  </si>
  <si>
    <t>Monitoring Well ID</t>
  </si>
  <si>
    <t>Seepage Discharge</t>
  </si>
  <si>
    <t>Seepage Pond</t>
  </si>
  <si>
    <t>Travel Blank</t>
  </si>
  <si>
    <t>Field Blank</t>
  </si>
  <si>
    <t>Filter Blank</t>
  </si>
  <si>
    <t>Sample Field ID</t>
  </si>
  <si>
    <t>Dup 2</t>
  </si>
  <si>
    <t>SP1</t>
  </si>
  <si>
    <t>Dup 1</t>
  </si>
  <si>
    <t>Date Sampled</t>
  </si>
  <si>
    <t>Ion Balance (%)</t>
  </si>
  <si>
    <t>Units</t>
  </si>
  <si>
    <t>Detection Limit</t>
  </si>
  <si>
    <t>Results</t>
  </si>
  <si>
    <t>Field</t>
  </si>
  <si>
    <t xml:space="preserve">Temperature </t>
  </si>
  <si>
    <r>
      <rPr>
        <sz val="11"/>
        <color theme="1"/>
        <rFont val="Calibri"/>
        <family val="2"/>
      </rPr>
      <t>ᵒ</t>
    </r>
    <r>
      <rPr>
        <sz val="10"/>
        <rFont val="Arial"/>
        <family val="2"/>
      </rPr>
      <t>C</t>
    </r>
  </si>
  <si>
    <t>pH</t>
  </si>
  <si>
    <t>pH_Units</t>
  </si>
  <si>
    <t>6.5 - 9</t>
  </si>
  <si>
    <t>Electrical Conductivity</t>
  </si>
  <si>
    <t>uS/cm</t>
  </si>
  <si>
    <t xml:space="preserve">Specific Electrical Conductivity </t>
  </si>
  <si>
    <t>Turbidity</t>
  </si>
  <si>
    <t>NTU</t>
  </si>
  <si>
    <r>
      <t>Dissolved O</t>
    </r>
    <r>
      <rPr>
        <vertAlign val="subscript"/>
        <sz val="10"/>
        <rFont val="Arial"/>
        <family val="2"/>
      </rPr>
      <t>2</t>
    </r>
  </si>
  <si>
    <t>mg/L</t>
  </si>
  <si>
    <t>Physical Tests</t>
  </si>
  <si>
    <t>Hardness (as CaCO3)</t>
  </si>
  <si>
    <t>Total Dissolved Solids</t>
  </si>
  <si>
    <t>Anions and Nutrients</t>
  </si>
  <si>
    <t>Ammonia as N</t>
  </si>
  <si>
    <r>
      <t>1.31-18.4</t>
    </r>
    <r>
      <rPr>
        <vertAlign val="superscript"/>
        <sz val="10"/>
        <rFont val="Arial"/>
        <family val="2"/>
      </rPr>
      <t>pH</t>
    </r>
  </si>
  <si>
    <r>
      <t>0.73-19.0</t>
    </r>
    <r>
      <rPr>
        <vertAlign val="superscript"/>
        <sz val="10"/>
        <rFont val="Arial"/>
        <family val="2"/>
      </rPr>
      <t>pH</t>
    </r>
  </si>
  <si>
    <t>Bicarbonate</t>
  </si>
  <si>
    <t>Bromide</t>
  </si>
  <si>
    <t>Carbonate</t>
  </si>
  <si>
    <t>Chloride</t>
  </si>
  <si>
    <t>Hydroxide (OH)</t>
  </si>
  <si>
    <t>Alkalinity, Total (as CaCO3)</t>
  </si>
  <si>
    <t>Cyanate</t>
  </si>
  <si>
    <t>Cyanide, Total</t>
  </si>
  <si>
    <t>Thiorcyanate</t>
  </si>
  <si>
    <t>Dissolved Organic Carbon</t>
  </si>
  <si>
    <t>Fluoride</t>
  </si>
  <si>
    <r>
      <t>2-3</t>
    </r>
    <r>
      <rPr>
        <vertAlign val="superscript"/>
        <sz val="10"/>
        <rFont val="Arial"/>
        <family val="2"/>
      </rPr>
      <t>H</t>
    </r>
  </si>
  <si>
    <t>Sulfate (SO4)</t>
  </si>
  <si>
    <t xml:space="preserve"> -</t>
  </si>
  <si>
    <t>Sulphide</t>
  </si>
  <si>
    <t>Nitrate and Nitrate (as N)</t>
  </si>
  <si>
    <t>Nitrate (as N)</t>
  </si>
  <si>
    <t>Nitrite (as N)</t>
  </si>
  <si>
    <t>Orthophosphate (PO4-P)</t>
  </si>
  <si>
    <t>Total Metals</t>
  </si>
  <si>
    <t>Aluminum (Al)-Total</t>
  </si>
  <si>
    <t>Antimony (Sb)-Total</t>
  </si>
  <si>
    <t>Arsenic (As)-Total</t>
  </si>
  <si>
    <t>Barium (Ba)-Total</t>
  </si>
  <si>
    <t>Beryllium (Be)-Total</t>
  </si>
  <si>
    <t>Bismuth (Bi)-Total</t>
  </si>
  <si>
    <t>Boron (B)-Total</t>
  </si>
  <si>
    <t>Cadmium (Cd)-Total</t>
  </si>
  <si>
    <r>
      <t>0.0001-0.0006</t>
    </r>
    <r>
      <rPr>
        <vertAlign val="superscript"/>
        <sz val="10"/>
        <rFont val="Arial"/>
        <family val="2"/>
      </rPr>
      <t>H</t>
    </r>
  </si>
  <si>
    <r>
      <t>0.000017-0.00035</t>
    </r>
    <r>
      <rPr>
        <vertAlign val="superscript"/>
        <sz val="10"/>
        <rFont val="Arial"/>
        <family val="2"/>
      </rPr>
      <t>H</t>
    </r>
  </si>
  <si>
    <t>Calcium (Ca)-Total (Routine)</t>
  </si>
  <si>
    <t>Chromium (Cr)-Total</t>
  </si>
  <si>
    <r>
      <t xml:space="preserve">0.001 </t>
    </r>
    <r>
      <rPr>
        <vertAlign val="superscript"/>
        <sz val="10"/>
        <rFont val="Arial"/>
        <family val="2"/>
      </rPr>
      <t>4</t>
    </r>
  </si>
  <si>
    <t>Cobalt (Co)-Total</t>
  </si>
  <si>
    <t>Copper (Cu)-Total</t>
  </si>
  <si>
    <r>
      <t>0.02-0.09</t>
    </r>
    <r>
      <rPr>
        <vertAlign val="superscript"/>
        <sz val="10"/>
        <rFont val="Arial"/>
        <family val="2"/>
      </rPr>
      <t>H</t>
    </r>
  </si>
  <si>
    <r>
      <t xml:space="preserve">0.002 - 0.0246 </t>
    </r>
    <r>
      <rPr>
        <vertAlign val="superscript"/>
        <sz val="10"/>
        <rFont val="Arial"/>
        <family val="2"/>
      </rPr>
      <t>H</t>
    </r>
  </si>
  <si>
    <t>Iron (Fe)-Total</t>
  </si>
  <si>
    <t>Lead (Pb)-Total</t>
  </si>
  <si>
    <r>
      <t>0.04-0.16</t>
    </r>
    <r>
      <rPr>
        <vertAlign val="superscript"/>
        <sz val="10"/>
        <rFont val="Arial"/>
        <family val="2"/>
      </rPr>
      <t>H</t>
    </r>
  </si>
  <si>
    <r>
      <t xml:space="preserve">0.001 - 0.007 </t>
    </r>
    <r>
      <rPr>
        <vertAlign val="superscript"/>
        <sz val="10"/>
        <rFont val="Arial"/>
        <family val="2"/>
      </rPr>
      <t>H6</t>
    </r>
  </si>
  <si>
    <t>Lithium (Li)-Total</t>
  </si>
  <si>
    <t>Magnesium (Mg)-Total</t>
  </si>
  <si>
    <t>Manganese (Mn)-Total</t>
  </si>
  <si>
    <t>Molybdenum (Mo)-Total</t>
  </si>
  <si>
    <t>Nickel (Ni)-Total</t>
  </si>
  <si>
    <t>1.1-1.5</t>
  </si>
  <si>
    <r>
      <t>0.054-0.767</t>
    </r>
    <r>
      <rPr>
        <vertAlign val="superscript"/>
        <sz val="10"/>
        <rFont val="Arial"/>
        <family val="2"/>
      </rPr>
      <t>H</t>
    </r>
  </si>
  <si>
    <t>Phosphorus (P)-Total</t>
  </si>
  <si>
    <t>0.004 - 0.10</t>
  </si>
  <si>
    <t>Potassium (K)-Total</t>
  </si>
  <si>
    <t>Selenium (Se)-Total</t>
  </si>
  <si>
    <t>Silicon (Si)-Total</t>
  </si>
  <si>
    <t>Silver (Ag)-Total</t>
  </si>
  <si>
    <r>
      <t>0.0005-0.015</t>
    </r>
    <r>
      <rPr>
        <vertAlign val="superscript"/>
        <sz val="10"/>
        <rFont val="Arial"/>
        <family val="2"/>
      </rPr>
      <t>H</t>
    </r>
  </si>
  <si>
    <t>Sodium (Na)-Total</t>
  </si>
  <si>
    <t>Strontium (Sr)-Total</t>
  </si>
  <si>
    <t>Sulphur (S)-Total</t>
  </si>
  <si>
    <t>Tellurium (Te)-Total</t>
  </si>
  <si>
    <t>Thallium (Tl)-Total</t>
  </si>
  <si>
    <t>Thorium (Th)-Total</t>
  </si>
  <si>
    <t>Tin (Sn)-Total</t>
  </si>
  <si>
    <t>Titanium (Ti)-Total</t>
  </si>
  <si>
    <t>Uranium (U)-Total</t>
  </si>
  <si>
    <t>Vanadium (V)-Total</t>
  </si>
  <si>
    <t>Zinc (Zn)-Total</t>
  </si>
  <si>
    <r>
      <t>0.075-2.4</t>
    </r>
    <r>
      <rPr>
        <vertAlign val="superscript"/>
        <sz val="10"/>
        <rFont val="Arial"/>
        <family val="2"/>
      </rPr>
      <t>H</t>
    </r>
  </si>
  <si>
    <t>Zirconium (Zr)-Total</t>
  </si>
  <si>
    <t>Dissolved Metals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</si>
  <si>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</si>
  <si>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</si>
  <si>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</si>
  <si>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</si>
  <si>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</si>
  <si>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</si>
  <si>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</si>
  <si>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</si>
  <si>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Chromium (Cr)-Dissolved</t>
  </si>
  <si>
    <t>Cobalt (Co)-Dissolved</t>
  </si>
  <si>
    <t>Copper (Cu)-Dissolved</t>
  </si>
  <si>
    <t>Lead (Pb)-Dissolved</t>
  </si>
  <si>
    <t>Lithium (Li)-Dissolved</t>
  </si>
  <si>
    <t>Molybdenum (Mo)-Dissolved</t>
  </si>
  <si>
    <t>Nickel (Ni)-Dissolved</t>
  </si>
  <si>
    <t>Selenium (Se)-Dissolved</t>
  </si>
  <si>
    <t>Silver (Ag)-Dissolved</t>
  </si>
  <si>
    <t>Strontium (Sr)-Dissolved</t>
  </si>
  <si>
    <t>Tellurium (Te)-Dissolved</t>
  </si>
  <si>
    <t>Thallium (Tl)-Dissolved</t>
  </si>
  <si>
    <t>Thorium (Th)-Dissolved</t>
  </si>
  <si>
    <t>Tin (Sn)-Dissolved</t>
  </si>
  <si>
    <t>Titanium (Ti)-Dissolved</t>
  </si>
  <si>
    <t>Uranium (U)-Dissolved</t>
  </si>
  <si>
    <t>Vanadium (V)-Dissolved</t>
  </si>
  <si>
    <t>Zinc (Zn)-Dissolved</t>
  </si>
  <si>
    <t>Zirconium (Zr)-Dissolved</t>
  </si>
  <si>
    <t>Notes:</t>
  </si>
  <si>
    <t>&lt; indicates less than the laboratory detection limit.</t>
  </si>
  <si>
    <t>- indicates not analyzed or no standards established.</t>
  </si>
  <si>
    <t>Bold - indicates sample exceeded CCME Aquatic life guidelines for dissolved metals</t>
  </si>
  <si>
    <t>Underline - indicates sample exceeded Yukon CSR standard for dissolved metals</t>
  </si>
  <si>
    <t>H - Standard is dependant on hardness (CaCO3)</t>
  </si>
  <si>
    <t>Parameter</t>
  </si>
  <si>
    <t>Table 1 - Monitoring Point Location and Details</t>
  </si>
  <si>
    <t>Table 2: Testing Completed</t>
  </si>
  <si>
    <t>Table 3: Groundwater and Seepage Chemistry Results</t>
  </si>
  <si>
    <t>2 Metal Mining Effluent Regulation (MMER), Environment Canada, SOR 2002/222, updated March 2012</t>
  </si>
  <si>
    <t>1 Yukon Contaminated Sites Regulation for the Protection of Aquatic Life ("YCSR AW"), Yukon Government, Environment Act, OIC 2002/171</t>
  </si>
  <si>
    <r>
      <t>Yukon CSR Aquatic Life</t>
    </r>
    <r>
      <rPr>
        <b/>
        <vertAlign val="superscript"/>
        <sz val="10"/>
        <rFont val="Arial"/>
        <family val="2"/>
      </rPr>
      <t>1</t>
    </r>
  </si>
  <si>
    <r>
      <t xml:space="preserve">CCME Guideline </t>
    </r>
    <r>
      <rPr>
        <b/>
        <vertAlign val="superscript"/>
        <sz val="10"/>
        <rFont val="Arial"/>
        <family val="2"/>
      </rPr>
      <t>3</t>
    </r>
  </si>
  <si>
    <r>
      <t>0.001</t>
    </r>
    <r>
      <rPr>
        <vertAlign val="superscript"/>
        <sz val="10"/>
        <rFont val="Arial"/>
        <family val="2"/>
      </rPr>
      <t xml:space="preserve"> 4</t>
    </r>
  </si>
  <si>
    <t>4 Standard is for Chromium VI.</t>
  </si>
  <si>
    <t>6 Standard is based on hardness (CaCO3) where lead equals; 0.001 mg/L when hardness is 0 - 60 mg/l, 0.002 mg/L when hardness is 60-120 mg/L, 0.004 mg/L when hardness is 120 - 180 mg/L, 0.007 when hardness is &gt;180 mg/L.</t>
  </si>
  <si>
    <t>7 Standard is based on hardness (CaCO3) where nickel equals; 0.025 mg/L when hardness is 0 - 60 mg/l, 0.065 mg/L when hardness is 60-120 mg/L, 0.110 mg/L when hardness is 120 - 180 mg/L, 0.150 when hardness is &gt;180 mg/L.</t>
  </si>
  <si>
    <r>
      <t>0.054-0.767</t>
    </r>
    <r>
      <rPr>
        <vertAlign val="superscript"/>
        <sz val="10"/>
        <rFont val="Arial"/>
        <family val="2"/>
      </rPr>
      <t>H,7</t>
    </r>
  </si>
  <si>
    <r>
      <t xml:space="preserve">0.001 - 0.007 </t>
    </r>
    <r>
      <rPr>
        <vertAlign val="superscript"/>
        <sz val="10"/>
        <rFont val="Arial"/>
        <family val="2"/>
      </rPr>
      <t>H,6</t>
    </r>
  </si>
  <si>
    <r>
      <t xml:space="preserve">0.002 - 0.0246 </t>
    </r>
    <r>
      <rPr>
        <vertAlign val="superscript"/>
        <sz val="10"/>
        <rFont val="Arial"/>
        <family val="2"/>
      </rPr>
      <t>H,5</t>
    </r>
  </si>
  <si>
    <t>pH - Standard is dependant on pH</t>
  </si>
  <si>
    <t>5 Standard is based on hardness (CaCO3) where copper equals; 0.002 mg/L when hardness is 0 - 120 mg/l, 0.003 mg/L when hardness is 120-180 mg/L, 0.004 mg/L when hardness is &gt;180 mg/L.</t>
  </si>
  <si>
    <t>Water type</t>
  </si>
  <si>
    <t>italics - indicates sample exceeded MMER standard for dissolved metals</t>
  </si>
  <si>
    <t>3 Canadian Water Quality Guidelines for the Protection of Aquatic Life, Canadian Council of Ministers of the Environment ("CCME"), updated 6.0, July 2006</t>
  </si>
  <si>
    <r>
      <t xml:space="preserve">MMER Standard 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Max. Monthly Mean Conc.</t>
    </r>
  </si>
  <si>
    <r>
      <t xml:space="preserve">MMER Standard 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Max. Conc. In a Grab Sample</t>
    </r>
  </si>
  <si>
    <t>Provided for Comparison purposes only</t>
  </si>
  <si>
    <t>Levelogger on direct read cable</t>
  </si>
  <si>
    <t>Water Sample Collection Date</t>
  </si>
  <si>
    <t>Table 4: Well Data for Hydraulic Conductivity Analysis</t>
  </si>
  <si>
    <t>MP09-01*</t>
  </si>
  <si>
    <t>MP09-02*</t>
  </si>
  <si>
    <t>MP09-03*</t>
  </si>
  <si>
    <t>MP09-08*</t>
  </si>
  <si>
    <t>* water levels were measured from the top of pipe to the level of standing water surrounding the drive-point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</si>
</sst>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9]d\-mmm\-yy;@"/>
    <numFmt numFmtId="165" formatCode="0.0000"/>
    <numFmt numFmtId="166" formatCode="0.000"/>
    <numFmt numFmtId="167" formatCode="0.0"/>
    <numFmt numFmtId="168" formatCode="0.00000"/>
  </numFmts>
  <fonts count="18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5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vertAlign val="subscript"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u/>
      <sz val="11"/>
      <color theme="1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47"/>
      </top>
      <bottom style="thin">
        <color indexed="4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</borders>
  <cellStyleXfs count="5">
    <xf numFmtId="0" fontId="0" fillId="0" borderId="0"/>
    <xf numFmtId="0" fontId="3" fillId="0" borderId="1"/>
    <xf numFmtId="0" fontId="2" fillId="0" borderId="1"/>
    <xf numFmtId="0" fontId="4" fillId="0" borderId="1"/>
    <xf numFmtId="0" fontId="1" fillId="0" borderId="0"/>
  </cellStyleXfs>
  <cellXfs count="193">
    <xf numFmtId="0" fontId="0" fillId="0" borderId="0" xfId="0"/>
    <xf numFmtId="0" fontId="4" fillId="0" borderId="0" xfId="3" applyBorder="1"/>
    <xf numFmtId="0" fontId="0" fillId="0" borderId="0" xfId="0" applyBorder="1"/>
    <xf numFmtId="0" fontId="2" fillId="0" borderId="0" xfId="2" applyBorder="1"/>
    <xf numFmtId="164" fontId="1" fillId="0" borderId="0" xfId="4" applyNumberFormat="1" applyBorder="1" applyAlignment="1"/>
    <xf numFmtId="0" fontId="1" fillId="0" borderId="0" xfId="4" applyBorder="1" applyAlignment="1"/>
    <xf numFmtId="0" fontId="3" fillId="0" borderId="2" xfId="1" applyBorder="1" applyAlignment="1">
      <alignment horizontal="center" vertical="center" wrapText="1"/>
    </xf>
    <xf numFmtId="0" fontId="2" fillId="0" borderId="3" xfId="2" applyBorder="1" applyAlignment="1">
      <alignment vertical="center" wrapText="1"/>
    </xf>
    <xf numFmtId="164" fontId="2" fillId="0" borderId="3" xfId="2" applyNumberFormat="1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3" xfId="2" quotePrefix="1" applyBorder="1" applyAlignment="1">
      <alignment horizontal="center" vertical="center" wrapText="1"/>
    </xf>
    <xf numFmtId="0" fontId="2" fillId="0" borderId="2" xfId="2" applyBorder="1" applyAlignment="1">
      <alignment vertical="center" wrapText="1"/>
    </xf>
    <xf numFmtId="164" fontId="2" fillId="0" borderId="2" xfId="2" applyNumberFormat="1" applyBorder="1" applyAlignment="1">
      <alignment horizontal="center" vertical="center" wrapText="1"/>
    </xf>
    <xf numFmtId="0" fontId="2" fillId="0" borderId="2" xfId="2" applyBorder="1" applyAlignment="1">
      <alignment horizontal="center" vertical="center" wrapText="1"/>
    </xf>
    <xf numFmtId="0" fontId="2" fillId="0" borderId="2" xfId="2" quotePrefix="1" applyBorder="1" applyAlignment="1">
      <alignment horizontal="center" vertical="center" wrapText="1"/>
    </xf>
    <xf numFmtId="164" fontId="2" fillId="0" borderId="2" xfId="2" quotePrefix="1" applyNumberFormat="1" applyBorder="1" applyAlignment="1">
      <alignment horizontal="center" vertical="center" wrapText="1"/>
    </xf>
    <xf numFmtId="0" fontId="1" fillId="0" borderId="0" xfId="4"/>
    <xf numFmtId="164" fontId="1" fillId="0" borderId="0" xfId="4" applyNumberFormat="1"/>
    <xf numFmtId="0" fontId="1" fillId="0" borderId="0" xfId="4" applyAlignment="1">
      <alignment horizontal="center"/>
    </xf>
    <xf numFmtId="0" fontId="3" fillId="0" borderId="0" xfId="2" applyFont="1" applyBorder="1"/>
    <xf numFmtId="0" fontId="3" fillId="0" borderId="2" xfId="2" applyFont="1" applyBorder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2" fillId="0" borderId="2" xfId="2" applyBorder="1" applyAlignment="1">
      <alignment vertical="center"/>
    </xf>
    <xf numFmtId="11" fontId="2" fillId="0" borderId="2" xfId="2" applyNumberFormat="1" applyBorder="1" applyAlignment="1">
      <alignment horizontal="center" vertical="center" wrapText="1"/>
    </xf>
    <xf numFmtId="0" fontId="2" fillId="0" borderId="2" xfId="2" applyBorder="1" applyAlignment="1">
      <alignment horizontal="left" vertical="center" wrapText="1"/>
    </xf>
    <xf numFmtId="0" fontId="3" fillId="0" borderId="2" xfId="1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" fontId="2" fillId="0" borderId="2" xfId="2" applyNumberFormat="1" applyBorder="1" applyAlignment="1">
      <alignment horizontal="center" vertical="center"/>
    </xf>
    <xf numFmtId="1" fontId="2" fillId="0" borderId="2" xfId="2" quotePrefix="1" applyNumberFormat="1" applyBorder="1" applyAlignment="1">
      <alignment horizontal="center" vertic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164" fontId="2" fillId="0" borderId="23" xfId="2" applyNumberFormat="1" applyBorder="1" applyAlignment="1">
      <alignment horizontal="center" vertical="center"/>
    </xf>
    <xf numFmtId="164" fontId="2" fillId="0" borderId="17" xfId="2" applyNumberFormat="1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0" xfId="2" applyBorder="1" applyAlignment="1">
      <alignment horizontal="center" vertical="center"/>
    </xf>
    <xf numFmtId="0" fontId="2" fillId="0" borderId="23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28" xfId="2" applyBorder="1" applyAlignment="1">
      <alignment horizontal="center" vertical="center"/>
    </xf>
    <xf numFmtId="0" fontId="2" fillId="0" borderId="29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  <xf numFmtId="0" fontId="2" fillId="0" borderId="14" xfId="2" applyBorder="1" applyAlignment="1">
      <alignment horizontal="left" vertical="center"/>
    </xf>
    <xf numFmtId="0" fontId="2" fillId="0" borderId="15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19" xfId="2" applyBorder="1" applyAlignment="1">
      <alignment horizontal="left" vertical="center"/>
    </xf>
    <xf numFmtId="0" fontId="3" fillId="0" borderId="23" xfId="2" applyFont="1" applyBorder="1" applyAlignment="1">
      <alignment horizontal="center" vertical="center"/>
    </xf>
    <xf numFmtId="0" fontId="2" fillId="0" borderId="27" xfId="2" applyBorder="1" applyAlignment="1">
      <alignment horizontal="left" vertical="center"/>
    </xf>
    <xf numFmtId="0" fontId="2" fillId="0" borderId="31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quotePrefix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20" xfId="0" quotePrefix="1" applyFont="1" applyFill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2" fillId="0" borderId="39" xfId="2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27" xfId="0" quotePrefix="1" applyFont="1" applyFill="1" applyBorder="1" applyAlignment="1">
      <alignment horizontal="center" vertical="center"/>
    </xf>
    <xf numFmtId="0" fontId="2" fillId="0" borderId="31" xfId="0" quotePrefix="1" applyFont="1" applyFill="1" applyBorder="1" applyAlignment="1">
      <alignment horizontal="center" vertical="center"/>
    </xf>
    <xf numFmtId="0" fontId="2" fillId="0" borderId="28" xfId="0" quotePrefix="1" applyFont="1" applyFill="1" applyBorder="1" applyAlignment="1">
      <alignment horizontal="center" vertical="center"/>
    </xf>
    <xf numFmtId="0" fontId="2" fillId="0" borderId="35" xfId="2" applyNumberFormat="1" applyBorder="1" applyAlignment="1">
      <alignment horizontal="center" vertical="center"/>
    </xf>
    <xf numFmtId="0" fontId="2" fillId="0" borderId="36" xfId="2" applyNumberFormat="1" applyBorder="1" applyAlignment="1">
      <alignment horizontal="center" vertical="center"/>
    </xf>
    <xf numFmtId="0" fontId="2" fillId="0" borderId="21" xfId="2" applyNumberFormat="1" applyBorder="1" applyAlignment="1">
      <alignment horizontal="center" vertical="center"/>
    </xf>
    <xf numFmtId="0" fontId="3" fillId="0" borderId="36" xfId="2" applyNumberFormat="1" applyFont="1" applyBorder="1" applyAlignment="1">
      <alignment horizontal="center" vertical="center"/>
    </xf>
    <xf numFmtId="0" fontId="3" fillId="0" borderId="21" xfId="2" applyNumberFormat="1" applyFont="1" applyBorder="1" applyAlignment="1">
      <alignment horizontal="center" vertical="center"/>
    </xf>
    <xf numFmtId="0" fontId="2" fillId="0" borderId="14" xfId="0" quotePrefix="1" applyFont="1" applyFill="1" applyBorder="1" applyAlignment="1">
      <alignment horizontal="center" vertical="center"/>
    </xf>
    <xf numFmtId="0" fontId="2" fillId="0" borderId="19" xfId="2" applyNumberFormat="1" applyBorder="1" applyAlignment="1">
      <alignment horizontal="center" vertical="center"/>
    </xf>
    <xf numFmtId="0" fontId="2" fillId="0" borderId="20" xfId="2" applyNumberFormat="1" applyBorder="1" applyAlignment="1">
      <alignment horizontal="center" vertical="center"/>
    </xf>
    <xf numFmtId="0" fontId="2" fillId="0" borderId="23" xfId="2" applyNumberFormat="1" applyBorder="1" applyAlignment="1">
      <alignment horizontal="center" vertical="center"/>
    </xf>
    <xf numFmtId="0" fontId="12" fillId="0" borderId="23" xfId="2" applyNumberFormat="1" applyFont="1" applyBorder="1" applyAlignment="1">
      <alignment horizontal="center" vertical="center"/>
    </xf>
    <xf numFmtId="165" fontId="2" fillId="0" borderId="19" xfId="2" applyNumberFormat="1" applyBorder="1" applyAlignment="1">
      <alignment horizontal="center" vertical="center"/>
    </xf>
    <xf numFmtId="165" fontId="2" fillId="0" borderId="20" xfId="2" applyNumberFormat="1" applyBorder="1" applyAlignment="1">
      <alignment horizontal="center" vertical="center"/>
    </xf>
    <xf numFmtId="165" fontId="2" fillId="0" borderId="23" xfId="2" applyNumberFormat="1" applyBorder="1" applyAlignment="1">
      <alignment horizontal="center" vertical="center"/>
    </xf>
    <xf numFmtId="166" fontId="13" fillId="0" borderId="23" xfId="2" applyNumberFormat="1" applyFont="1" applyBorder="1" applyAlignment="1">
      <alignment horizontal="center" vertical="center"/>
    </xf>
    <xf numFmtId="167" fontId="11" fillId="0" borderId="23" xfId="2" applyNumberFormat="1" applyFont="1" applyBorder="1" applyAlignment="1">
      <alignment horizontal="center" vertical="center"/>
    </xf>
    <xf numFmtId="165" fontId="13" fillId="0" borderId="19" xfId="2" applyNumberFormat="1" applyFont="1" applyBorder="1" applyAlignment="1">
      <alignment horizontal="center" vertical="center"/>
    </xf>
    <xf numFmtId="165" fontId="13" fillId="0" borderId="20" xfId="2" applyNumberFormat="1" applyFont="1" applyBorder="1" applyAlignment="1">
      <alignment horizontal="center" vertical="center"/>
    </xf>
    <xf numFmtId="2" fontId="3" fillId="0" borderId="20" xfId="2" applyNumberFormat="1" applyFont="1" applyBorder="1" applyAlignment="1">
      <alignment horizontal="center" vertical="center"/>
    </xf>
    <xf numFmtId="166" fontId="2" fillId="0" borderId="23" xfId="2" applyNumberFormat="1" applyBorder="1" applyAlignment="1">
      <alignment horizontal="center" vertical="center"/>
    </xf>
    <xf numFmtId="165" fontId="3" fillId="0" borderId="23" xfId="2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168" fontId="2" fillId="0" borderId="23" xfId="2" applyNumberFormat="1" applyBorder="1" applyAlignment="1">
      <alignment horizontal="center" vertical="center"/>
    </xf>
    <xf numFmtId="168" fontId="3" fillId="0" borderId="19" xfId="2" applyNumberFormat="1" applyFont="1" applyBorder="1" applyAlignment="1">
      <alignment horizontal="center" vertical="center"/>
    </xf>
    <xf numFmtId="168" fontId="3" fillId="0" borderId="20" xfId="2" applyNumberFormat="1" applyFont="1" applyBorder="1" applyAlignment="1">
      <alignment horizontal="center" vertical="center"/>
    </xf>
    <xf numFmtId="168" fontId="13" fillId="0" borderId="23" xfId="2" applyNumberFormat="1" applyFont="1" applyBorder="1" applyAlignment="1">
      <alignment horizontal="center" vertical="center"/>
    </xf>
    <xf numFmtId="168" fontId="2" fillId="0" borderId="19" xfId="2" applyNumberFormat="1" applyBorder="1" applyAlignment="1">
      <alignment horizontal="center" vertical="center"/>
    </xf>
    <xf numFmtId="168" fontId="2" fillId="0" borderId="20" xfId="2" applyNumberFormat="1" applyBorder="1" applyAlignment="1">
      <alignment horizontal="center" vertical="center"/>
    </xf>
    <xf numFmtId="168" fontId="3" fillId="0" borderId="23" xfId="2" applyNumberFormat="1" applyFont="1" applyBorder="1" applyAlignment="1">
      <alignment horizontal="center" vertical="center"/>
    </xf>
    <xf numFmtId="0" fontId="3" fillId="0" borderId="19" xfId="2" applyNumberFormat="1" applyFont="1" applyBorder="1" applyAlignment="1">
      <alignment horizontal="center" vertical="center"/>
    </xf>
    <xf numFmtId="0" fontId="3" fillId="0" borderId="20" xfId="2" applyNumberFormat="1" applyFont="1" applyBorder="1" applyAlignment="1">
      <alignment horizontal="center" vertical="center"/>
    </xf>
    <xf numFmtId="0" fontId="3" fillId="0" borderId="23" xfId="2" applyNumberFormat="1" applyFont="1" applyBorder="1" applyAlignment="1">
      <alignment horizontal="center" vertical="center"/>
    </xf>
    <xf numFmtId="49" fontId="2" fillId="0" borderId="19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7" xfId="2" applyNumberFormat="1" applyBorder="1" applyAlignment="1">
      <alignment horizontal="center" vertical="center"/>
    </xf>
    <xf numFmtId="0" fontId="2" fillId="0" borderId="28" xfId="2" applyNumberFormat="1" applyBorder="1" applyAlignment="1">
      <alignment horizontal="center" vertical="center"/>
    </xf>
    <xf numFmtId="0" fontId="2" fillId="0" borderId="29" xfId="2" applyNumberFormat="1" applyBorder="1" applyAlignment="1">
      <alignment horizontal="center" vertical="center"/>
    </xf>
    <xf numFmtId="2" fontId="2" fillId="0" borderId="31" xfId="0" quotePrefix="1" applyNumberFormat="1" applyFont="1" applyFill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0" fillId="0" borderId="0" xfId="0" quotePrefix="1"/>
    <xf numFmtId="0" fontId="7" fillId="0" borderId="0" xfId="0" applyFont="1"/>
    <xf numFmtId="0" fontId="14" fillId="0" borderId="0" xfId="0" applyFont="1"/>
    <xf numFmtId="0" fontId="15" fillId="0" borderId="0" xfId="0" applyFont="1"/>
    <xf numFmtId="0" fontId="3" fillId="0" borderId="51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2" fillId="0" borderId="0" xfId="0" applyFont="1"/>
    <xf numFmtId="165" fontId="3" fillId="0" borderId="19" xfId="2" applyNumberFormat="1" applyFont="1" applyBorder="1" applyAlignment="1">
      <alignment horizontal="center" vertical="center"/>
    </xf>
    <xf numFmtId="0" fontId="2" fillId="0" borderId="0" xfId="2" applyFill="1" applyBorder="1"/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1" applyBorder="1" applyAlignment="1">
      <alignment horizontal="center" vertical="center" wrapText="1"/>
    </xf>
    <xf numFmtId="0" fontId="3" fillId="0" borderId="5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164" fontId="3" fillId="0" borderId="2" xfId="1" applyNumberFormat="1" applyBorder="1" applyAlignment="1">
      <alignment horizontal="center" vertical="center" wrapText="1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54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0" xfId="2" applyBorder="1" applyAlignment="1">
      <alignment horizontal="center" vertical="center"/>
    </xf>
    <xf numFmtId="0" fontId="3" fillId="0" borderId="53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43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164" fontId="2" fillId="0" borderId="17" xfId="2" applyNumberFormat="1" applyBorder="1" applyAlignment="1">
      <alignment horizontal="center" vertical="center"/>
    </xf>
    <xf numFmtId="164" fontId="2" fillId="0" borderId="18" xfId="2" applyNumberFormat="1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37" xfId="2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38" xfId="2" applyBorder="1" applyAlignment="1">
      <alignment horizontal="center" vertical="center"/>
    </xf>
    <xf numFmtId="0" fontId="3" fillId="0" borderId="46" xfId="2" applyFont="1" applyBorder="1" applyAlignment="1">
      <alignment horizontal="left" vertical="center"/>
    </xf>
    <xf numFmtId="0" fontId="3" fillId="0" borderId="47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/>
    </xf>
    <xf numFmtId="0" fontId="3" fillId="0" borderId="30" xfId="2" applyFont="1" applyBorder="1" applyAlignment="1">
      <alignment horizontal="left" vertical="center"/>
    </xf>
    <xf numFmtId="0" fontId="2" fillId="0" borderId="25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4" xfId="2" applyBorder="1" applyAlignment="1">
      <alignment horizontal="center" vertical="center"/>
    </xf>
  </cellXfs>
  <cellStyles count="5">
    <cellStyle name="EBA Table Heading" xfId="1"/>
    <cellStyle name="EBA Table Text" xfId="2"/>
    <cellStyle name="EBA Table Title" xfId="3"/>
    <cellStyle name="Normal" xfId="0" builtinId="0"/>
    <cellStyle name="Normal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375462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5EB445"/>
      <rgbColor rgb="00CC99FF"/>
      <rgbColor rgb="0078716E"/>
      <rgbColor rgb="003366FF"/>
      <rgbColor rgb="0033CCCC"/>
      <rgbColor rgb="0099CC00"/>
      <rgbColor rgb="000069A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EBA Theme">
  <a:themeElements>
    <a:clrScheme name="EBA">
      <a:dk1>
        <a:sysClr val="windowText" lastClr="000000"/>
      </a:dk1>
      <a:lt1>
        <a:sysClr val="window" lastClr="FFFFFF"/>
      </a:lt1>
      <a:dk2>
        <a:srgbClr val="0069AA"/>
      </a:dk2>
      <a:lt2>
        <a:srgbClr val="EEECE1"/>
      </a:lt2>
      <a:accent1>
        <a:srgbClr val="0069AA"/>
      </a:accent1>
      <a:accent2>
        <a:srgbClr val="5EB445"/>
      </a:accent2>
      <a:accent3>
        <a:srgbClr val="78716E"/>
      </a:accent3>
      <a:accent4>
        <a:srgbClr val="375E62"/>
      </a:accent4>
      <a:accent5>
        <a:srgbClr val="98A6C4"/>
      </a:accent5>
      <a:accent6>
        <a:srgbClr val="F49D42"/>
      </a:accent6>
      <a:hlink>
        <a:srgbClr val="0069AA"/>
      </a:hlink>
      <a:folHlink>
        <a:srgbClr val="78716E"/>
      </a:folHlink>
    </a:clrScheme>
    <a:fontScheme name="EBA Excel">
      <a:majorFont>
        <a:latin typeface="Gill Sans MT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7"/>
  <sheetViews>
    <sheetView view="pageBreakPreview" zoomScale="80" zoomScaleNormal="100" zoomScaleSheetLayoutView="80" workbookViewId="0">
      <selection activeCell="B62" sqref="B62"/>
    </sheetView>
  </sheetViews>
  <sheetFormatPr defaultRowHeight="12.75" x14ac:dyDescent="0.2"/>
  <cols>
    <col min="1" max="1" width="15.42578125" style="2" customWidth="1"/>
    <col min="2" max="2" width="41.28515625" style="2" customWidth="1"/>
    <col min="3" max="3" width="8" style="2" bestFit="1" customWidth="1"/>
    <col min="4" max="4" width="8.7109375" style="2" bestFit="1" customWidth="1"/>
    <col min="5" max="5" width="12.7109375" style="2" customWidth="1"/>
    <col min="6" max="6" width="9" style="28" bestFit="1" customWidth="1"/>
    <col min="7" max="7" width="16.5703125" style="2" customWidth="1"/>
    <col min="8" max="8" width="15.5703125" style="2" customWidth="1"/>
    <col min="9" max="9" width="18.85546875" style="2" customWidth="1"/>
    <col min="10" max="10" width="20.85546875" style="2" customWidth="1"/>
    <col min="11" max="11" width="50.85546875" style="2" customWidth="1"/>
    <col min="13" max="16384" width="9.140625" style="2"/>
  </cols>
  <sheetData>
    <row r="1" spans="1:11" ht="15.75" x14ac:dyDescent="0.25">
      <c r="A1" s="1" t="s">
        <v>345</v>
      </c>
      <c r="B1"/>
      <c r="C1"/>
      <c r="D1"/>
      <c r="E1"/>
      <c r="F1" s="29"/>
      <c r="G1"/>
      <c r="H1"/>
      <c r="I1"/>
      <c r="J1"/>
      <c r="K1"/>
    </row>
    <row r="2" spans="1:11" ht="12.75" customHeight="1" x14ac:dyDescent="0.2">
      <c r="A2" s="132" t="s">
        <v>0</v>
      </c>
      <c r="B2" s="135" t="s">
        <v>106</v>
      </c>
      <c r="C2" s="136"/>
      <c r="D2" s="137"/>
      <c r="E2" s="132" t="s">
        <v>107</v>
      </c>
      <c r="F2" s="132" t="s">
        <v>108</v>
      </c>
      <c r="G2" s="132" t="s">
        <v>109</v>
      </c>
      <c r="H2" s="132" t="s">
        <v>110</v>
      </c>
      <c r="I2" s="132" t="s">
        <v>111</v>
      </c>
      <c r="J2" s="132" t="s">
        <v>112</v>
      </c>
      <c r="K2" s="132" t="s">
        <v>113</v>
      </c>
    </row>
    <row r="3" spans="1:11" ht="12.75" customHeight="1" x14ac:dyDescent="0.2">
      <c r="A3" s="133"/>
      <c r="B3" s="132" t="s">
        <v>114</v>
      </c>
      <c r="C3" s="135" t="s">
        <v>115</v>
      </c>
      <c r="D3" s="137"/>
      <c r="E3" s="133"/>
      <c r="F3" s="133"/>
      <c r="G3" s="133"/>
      <c r="H3" s="133"/>
      <c r="I3" s="133"/>
      <c r="J3" s="133"/>
      <c r="K3" s="133"/>
    </row>
    <row r="4" spans="1:11" x14ac:dyDescent="0.2">
      <c r="A4" s="134"/>
      <c r="B4" s="134"/>
      <c r="C4" s="21" t="s">
        <v>116</v>
      </c>
      <c r="D4" s="21" t="s">
        <v>117</v>
      </c>
      <c r="E4" s="134"/>
      <c r="F4" s="134"/>
      <c r="G4" s="134"/>
      <c r="H4" s="134"/>
      <c r="I4" s="134"/>
      <c r="J4" s="134"/>
      <c r="K4" s="134"/>
    </row>
    <row r="5" spans="1:11" x14ac:dyDescent="0.2">
      <c r="A5" s="13" t="s">
        <v>8</v>
      </c>
      <c r="B5" s="25" t="s">
        <v>118</v>
      </c>
      <c r="C5" s="13">
        <v>6880557</v>
      </c>
      <c r="D5" s="13">
        <v>389393</v>
      </c>
      <c r="E5" s="13">
        <v>1</v>
      </c>
      <c r="F5" s="12">
        <v>41062</v>
      </c>
      <c r="G5" s="13">
        <f>6.37-I5</f>
        <v>5.54</v>
      </c>
      <c r="H5" s="13">
        <f>10.96-I5</f>
        <v>10.130000000000001</v>
      </c>
      <c r="I5" s="13">
        <v>0.83</v>
      </c>
      <c r="J5" s="13" t="s">
        <v>119</v>
      </c>
      <c r="K5" s="25" t="s">
        <v>120</v>
      </c>
    </row>
    <row r="6" spans="1:11" x14ac:dyDescent="0.2">
      <c r="A6" s="13" t="s">
        <v>12</v>
      </c>
      <c r="B6" s="25" t="s">
        <v>118</v>
      </c>
      <c r="C6" s="13">
        <v>6880557</v>
      </c>
      <c r="D6" s="13">
        <v>389394</v>
      </c>
      <c r="E6" s="13">
        <v>1</v>
      </c>
      <c r="F6" s="12">
        <v>41062</v>
      </c>
      <c r="G6" s="13">
        <f>2.69-I6</f>
        <v>2.0099999999999998</v>
      </c>
      <c r="H6" s="13">
        <f>5.67-I6</f>
        <v>4.99</v>
      </c>
      <c r="I6" s="13">
        <v>0.68</v>
      </c>
      <c r="J6" s="13" t="s">
        <v>119</v>
      </c>
      <c r="K6" s="25" t="s">
        <v>120</v>
      </c>
    </row>
    <row r="7" spans="1:11" x14ac:dyDescent="0.2">
      <c r="A7" s="13" t="s">
        <v>13</v>
      </c>
      <c r="B7" s="25" t="s">
        <v>118</v>
      </c>
      <c r="C7" s="13">
        <v>6880555</v>
      </c>
      <c r="D7" s="13">
        <v>389420</v>
      </c>
      <c r="E7" s="13">
        <v>2</v>
      </c>
      <c r="F7" s="12">
        <v>41062</v>
      </c>
      <c r="G7" s="13">
        <f>5.7-I7</f>
        <v>5.21</v>
      </c>
      <c r="H7" s="13">
        <f>9.93-I7</f>
        <v>9.44</v>
      </c>
      <c r="I7" s="13">
        <v>0.49</v>
      </c>
      <c r="J7" s="13" t="s">
        <v>119</v>
      </c>
      <c r="K7" s="25" t="s">
        <v>121</v>
      </c>
    </row>
    <row r="8" spans="1:11" x14ac:dyDescent="0.2">
      <c r="A8" s="13" t="s">
        <v>17</v>
      </c>
      <c r="B8" s="25" t="s">
        <v>118</v>
      </c>
      <c r="C8" s="13">
        <v>6880555</v>
      </c>
      <c r="D8" s="13">
        <v>389420</v>
      </c>
      <c r="E8" s="13">
        <v>2</v>
      </c>
      <c r="F8" s="12">
        <v>41062</v>
      </c>
      <c r="G8" s="13">
        <f>3.415-I8</f>
        <v>2.9050000000000002</v>
      </c>
      <c r="H8" s="13">
        <f>7.67-I8</f>
        <v>7.16</v>
      </c>
      <c r="I8" s="13">
        <v>0.51</v>
      </c>
      <c r="J8" s="13" t="s">
        <v>119</v>
      </c>
      <c r="K8" s="25" t="s">
        <v>121</v>
      </c>
    </row>
    <row r="9" spans="1:11" ht="14.25" x14ac:dyDescent="0.2">
      <c r="A9" s="13" t="s">
        <v>18</v>
      </c>
      <c r="B9" s="25" t="s">
        <v>118</v>
      </c>
      <c r="C9" s="13" t="s">
        <v>122</v>
      </c>
      <c r="D9" s="13" t="s">
        <v>10</v>
      </c>
      <c r="E9" s="13" t="s">
        <v>10</v>
      </c>
      <c r="F9" s="12" t="s">
        <v>10</v>
      </c>
      <c r="G9" s="13" t="s">
        <v>10</v>
      </c>
      <c r="H9" s="13" t="s">
        <v>10</v>
      </c>
      <c r="I9" s="13" t="s">
        <v>10</v>
      </c>
      <c r="J9" s="13" t="s">
        <v>10</v>
      </c>
      <c r="K9" s="25" t="s">
        <v>123</v>
      </c>
    </row>
    <row r="10" spans="1:11" x14ac:dyDescent="0.2">
      <c r="A10" s="13" t="s">
        <v>20</v>
      </c>
      <c r="B10" s="25" t="s">
        <v>118</v>
      </c>
      <c r="C10" s="13" t="s">
        <v>10</v>
      </c>
      <c r="D10" s="13" t="s">
        <v>10</v>
      </c>
      <c r="E10" s="13" t="s">
        <v>10</v>
      </c>
      <c r="F10" s="12" t="s">
        <v>10</v>
      </c>
      <c r="G10" s="13" t="s">
        <v>10</v>
      </c>
      <c r="H10" s="13" t="s">
        <v>10</v>
      </c>
      <c r="I10" s="13" t="s">
        <v>10</v>
      </c>
      <c r="J10" s="13" t="s">
        <v>10</v>
      </c>
      <c r="K10" s="25" t="s">
        <v>123</v>
      </c>
    </row>
    <row r="11" spans="1:11" x14ac:dyDescent="0.2">
      <c r="A11" s="13" t="s">
        <v>21</v>
      </c>
      <c r="B11" s="25" t="s">
        <v>118</v>
      </c>
      <c r="C11" s="13" t="s">
        <v>10</v>
      </c>
      <c r="D11" s="13" t="s">
        <v>10</v>
      </c>
      <c r="E11" s="13" t="s">
        <v>10</v>
      </c>
      <c r="F11" s="12" t="s">
        <v>10</v>
      </c>
      <c r="G11" s="13" t="s">
        <v>10</v>
      </c>
      <c r="H11" s="13" t="s">
        <v>10</v>
      </c>
      <c r="I11" s="13" t="s">
        <v>10</v>
      </c>
      <c r="J11" s="13" t="s">
        <v>10</v>
      </c>
      <c r="K11" s="25" t="s">
        <v>123</v>
      </c>
    </row>
    <row r="12" spans="1:11" ht="14.25" x14ac:dyDescent="0.2">
      <c r="A12" s="13" t="s">
        <v>22</v>
      </c>
      <c r="B12" s="25" t="s">
        <v>124</v>
      </c>
      <c r="C12" s="13">
        <v>6880578</v>
      </c>
      <c r="D12" s="13">
        <v>389616</v>
      </c>
      <c r="E12" s="13">
        <v>2</v>
      </c>
      <c r="F12" s="12">
        <v>41063</v>
      </c>
      <c r="G12" s="13" t="s">
        <v>125</v>
      </c>
      <c r="H12" s="13" t="s">
        <v>10</v>
      </c>
      <c r="I12" s="13">
        <v>0.99</v>
      </c>
      <c r="J12" s="13" t="s">
        <v>10</v>
      </c>
      <c r="K12" s="25" t="s">
        <v>131</v>
      </c>
    </row>
    <row r="13" spans="1:11" ht="14.25" x14ac:dyDescent="0.2">
      <c r="A13" s="13" t="s">
        <v>24</v>
      </c>
      <c r="B13" s="25" t="s">
        <v>126</v>
      </c>
      <c r="C13" s="13">
        <v>6880711</v>
      </c>
      <c r="D13" s="13">
        <v>389040</v>
      </c>
      <c r="E13" s="13">
        <v>2</v>
      </c>
      <c r="F13" s="12">
        <v>41064</v>
      </c>
      <c r="G13" s="13" t="s">
        <v>127</v>
      </c>
      <c r="H13" s="13">
        <v>4.09</v>
      </c>
      <c r="I13" s="13">
        <v>0.8</v>
      </c>
      <c r="J13" s="13" t="s">
        <v>10</v>
      </c>
      <c r="K13" s="25" t="s">
        <v>128</v>
      </c>
    </row>
    <row r="14" spans="1:11" x14ac:dyDescent="0.2">
      <c r="A14" s="13" t="s">
        <v>26</v>
      </c>
      <c r="B14" s="25" t="s">
        <v>129</v>
      </c>
      <c r="C14" s="13">
        <v>6881661</v>
      </c>
      <c r="D14" s="13">
        <v>389005</v>
      </c>
      <c r="E14" s="13">
        <v>2</v>
      </c>
      <c r="F14" s="12">
        <v>41064</v>
      </c>
      <c r="G14" s="13" t="s">
        <v>130</v>
      </c>
      <c r="H14" s="13" t="s">
        <v>10</v>
      </c>
      <c r="I14" s="13">
        <v>0.77</v>
      </c>
      <c r="J14" s="13" t="s">
        <v>10</v>
      </c>
      <c r="K14" s="25" t="s">
        <v>131</v>
      </c>
    </row>
    <row r="15" spans="1:11" x14ac:dyDescent="0.2">
      <c r="A15" s="13" t="s">
        <v>27</v>
      </c>
      <c r="B15" s="25" t="s">
        <v>129</v>
      </c>
      <c r="C15" s="13">
        <v>6881661</v>
      </c>
      <c r="D15" s="13">
        <v>389006</v>
      </c>
      <c r="E15" s="13">
        <v>2</v>
      </c>
      <c r="F15" s="12">
        <v>41064</v>
      </c>
      <c r="G15" s="13" t="s">
        <v>132</v>
      </c>
      <c r="H15" s="13" t="s">
        <v>10</v>
      </c>
      <c r="I15" s="13">
        <v>0.75</v>
      </c>
      <c r="J15" s="13" t="s">
        <v>10</v>
      </c>
      <c r="K15" s="25" t="s">
        <v>131</v>
      </c>
    </row>
    <row r="16" spans="1:11" x14ac:dyDescent="0.2">
      <c r="A16" s="13" t="s">
        <v>28</v>
      </c>
      <c r="B16" s="25" t="s">
        <v>129</v>
      </c>
      <c r="C16" s="13">
        <v>6881724</v>
      </c>
      <c r="D16" s="13">
        <v>388917</v>
      </c>
      <c r="E16" s="13">
        <v>2</v>
      </c>
      <c r="F16" s="12">
        <v>41064</v>
      </c>
      <c r="G16" s="13" t="s">
        <v>133</v>
      </c>
      <c r="H16" s="13" t="s">
        <v>10</v>
      </c>
      <c r="I16" s="13">
        <v>0.87</v>
      </c>
      <c r="J16" s="13" t="s">
        <v>10</v>
      </c>
      <c r="K16" s="25" t="s">
        <v>134</v>
      </c>
    </row>
    <row r="17" spans="1:11" x14ac:dyDescent="0.2">
      <c r="A17" s="13" t="s">
        <v>30</v>
      </c>
      <c r="B17" s="25" t="s">
        <v>135</v>
      </c>
      <c r="C17" s="13">
        <v>6881090</v>
      </c>
      <c r="D17" s="13">
        <v>387992</v>
      </c>
      <c r="E17" s="13">
        <v>2</v>
      </c>
      <c r="F17" s="12">
        <v>41061</v>
      </c>
      <c r="G17" s="13" t="s">
        <v>136</v>
      </c>
      <c r="H17" s="13" t="s">
        <v>10</v>
      </c>
      <c r="I17" s="13">
        <v>1.05</v>
      </c>
      <c r="J17" s="13" t="s">
        <v>10</v>
      </c>
      <c r="K17" s="25" t="s">
        <v>131</v>
      </c>
    </row>
    <row r="18" spans="1:11" x14ac:dyDescent="0.2">
      <c r="A18" s="13" t="s">
        <v>32</v>
      </c>
      <c r="B18" s="25" t="s">
        <v>135</v>
      </c>
      <c r="C18" s="13">
        <v>6880970</v>
      </c>
      <c r="D18" s="13">
        <v>388078</v>
      </c>
      <c r="E18" s="13">
        <v>2</v>
      </c>
      <c r="F18" s="12">
        <v>41061</v>
      </c>
      <c r="G18" s="13">
        <f>3.395-I18</f>
        <v>2.5649999999999999</v>
      </c>
      <c r="H18" s="13">
        <f>5.64-I18</f>
        <v>4.8099999999999996</v>
      </c>
      <c r="I18" s="13">
        <v>0.83</v>
      </c>
      <c r="J18" s="13" t="s">
        <v>137</v>
      </c>
      <c r="K18" s="25" t="s">
        <v>121</v>
      </c>
    </row>
    <row r="19" spans="1:11" x14ac:dyDescent="0.2">
      <c r="A19" s="13" t="s">
        <v>34</v>
      </c>
      <c r="B19" s="25" t="s">
        <v>135</v>
      </c>
      <c r="C19" s="13">
        <v>6880984</v>
      </c>
      <c r="D19" s="13">
        <v>388050</v>
      </c>
      <c r="E19" s="13">
        <v>2</v>
      </c>
      <c r="F19" s="12">
        <v>41061</v>
      </c>
      <c r="G19" s="13">
        <f>3.38-I19</f>
        <v>2.4749999999999996</v>
      </c>
      <c r="H19" s="13">
        <f>7.78-I19</f>
        <v>6.875</v>
      </c>
      <c r="I19" s="13">
        <v>0.90500000000000003</v>
      </c>
      <c r="J19" s="13" t="s">
        <v>137</v>
      </c>
      <c r="K19" s="25" t="s">
        <v>121</v>
      </c>
    </row>
    <row r="20" spans="1:11" x14ac:dyDescent="0.2">
      <c r="A20" s="13" t="s">
        <v>35</v>
      </c>
      <c r="B20" s="25" t="s">
        <v>135</v>
      </c>
      <c r="C20" s="13">
        <v>6881016</v>
      </c>
      <c r="D20" s="13">
        <v>388051</v>
      </c>
      <c r="E20" s="13">
        <v>2</v>
      </c>
      <c r="F20" s="12">
        <v>41061</v>
      </c>
      <c r="G20" s="13" t="s">
        <v>138</v>
      </c>
      <c r="H20" s="13" t="s">
        <v>10</v>
      </c>
      <c r="I20" s="13">
        <v>0.95</v>
      </c>
      <c r="J20" s="13" t="s">
        <v>10</v>
      </c>
      <c r="K20" s="25" t="s">
        <v>131</v>
      </c>
    </row>
    <row r="21" spans="1:11" x14ac:dyDescent="0.2">
      <c r="A21" s="13" t="s">
        <v>37</v>
      </c>
      <c r="B21" s="25" t="s">
        <v>139</v>
      </c>
      <c r="C21" s="13">
        <v>6880588</v>
      </c>
      <c r="D21" s="13">
        <v>389587</v>
      </c>
      <c r="E21" s="13">
        <v>2</v>
      </c>
      <c r="F21" s="12">
        <v>41062</v>
      </c>
      <c r="G21" s="13" t="s">
        <v>140</v>
      </c>
      <c r="H21" s="13">
        <f>3.67-I21</f>
        <v>2.75</v>
      </c>
      <c r="I21" s="13">
        <v>0.92</v>
      </c>
      <c r="J21" s="13" t="s">
        <v>10</v>
      </c>
      <c r="K21" s="25" t="s">
        <v>128</v>
      </c>
    </row>
    <row r="22" spans="1:11" x14ac:dyDescent="0.2">
      <c r="A22" s="13" t="s">
        <v>39</v>
      </c>
      <c r="B22" s="25" t="s">
        <v>141</v>
      </c>
      <c r="C22" s="13">
        <v>6880573</v>
      </c>
      <c r="D22" s="13">
        <v>389538</v>
      </c>
      <c r="E22" s="13">
        <v>2</v>
      </c>
      <c r="F22" s="12">
        <v>41063</v>
      </c>
      <c r="G22" s="13" t="s">
        <v>142</v>
      </c>
      <c r="H22" s="13" t="s">
        <v>10</v>
      </c>
      <c r="I22" s="13">
        <v>0.74</v>
      </c>
      <c r="J22" s="13" t="s">
        <v>10</v>
      </c>
      <c r="K22" s="25" t="s">
        <v>143</v>
      </c>
    </row>
    <row r="23" spans="1:11" x14ac:dyDescent="0.2">
      <c r="A23" s="13" t="s">
        <v>41</v>
      </c>
      <c r="B23" s="25" t="s">
        <v>144</v>
      </c>
      <c r="C23" s="13">
        <v>6880549</v>
      </c>
      <c r="D23" s="13">
        <v>389496</v>
      </c>
      <c r="E23" s="13">
        <v>2</v>
      </c>
      <c r="F23" s="12">
        <v>41063</v>
      </c>
      <c r="G23" s="13">
        <f>4.24-I23</f>
        <v>3.4000000000000004</v>
      </c>
      <c r="H23" s="13">
        <f>5.26-I23</f>
        <v>4.42</v>
      </c>
      <c r="I23" s="13">
        <v>0.84</v>
      </c>
      <c r="J23" s="13" t="s">
        <v>119</v>
      </c>
      <c r="K23" s="25" t="s">
        <v>121</v>
      </c>
    </row>
    <row r="24" spans="1:11" x14ac:dyDescent="0.2">
      <c r="A24" s="13" t="s">
        <v>42</v>
      </c>
      <c r="B24" s="25" t="s">
        <v>145</v>
      </c>
      <c r="C24" s="13">
        <v>6880555</v>
      </c>
      <c r="D24" s="13">
        <v>389459</v>
      </c>
      <c r="E24" s="13">
        <v>2</v>
      </c>
      <c r="F24" s="12">
        <v>41062</v>
      </c>
      <c r="G24" s="13">
        <f>12.17-I24</f>
        <v>11.25</v>
      </c>
      <c r="H24" s="13">
        <f>15.81-I24</f>
        <v>14.89</v>
      </c>
      <c r="I24" s="13">
        <v>0.92</v>
      </c>
      <c r="J24" s="13" t="s">
        <v>119</v>
      </c>
      <c r="K24" s="25" t="s">
        <v>121</v>
      </c>
    </row>
    <row r="25" spans="1:11" x14ac:dyDescent="0.2">
      <c r="A25" s="13" t="s">
        <v>43</v>
      </c>
      <c r="B25" s="25" t="s">
        <v>146</v>
      </c>
      <c r="C25" s="13">
        <v>6880621</v>
      </c>
      <c r="D25" s="13">
        <v>389556</v>
      </c>
      <c r="E25" s="13">
        <v>2</v>
      </c>
      <c r="F25" s="12">
        <v>41063</v>
      </c>
      <c r="G25" s="13">
        <f>9.38-I25</f>
        <v>8.7000000000000011</v>
      </c>
      <c r="H25" s="13">
        <f>11.21-I25</f>
        <v>10.530000000000001</v>
      </c>
      <c r="I25" s="13">
        <v>0.68</v>
      </c>
      <c r="J25" s="13" t="s">
        <v>137</v>
      </c>
      <c r="K25" s="25" t="s">
        <v>121</v>
      </c>
    </row>
    <row r="26" spans="1:11" x14ac:dyDescent="0.2">
      <c r="A26" s="13" t="s">
        <v>370</v>
      </c>
      <c r="B26" s="25" t="s">
        <v>147</v>
      </c>
      <c r="C26" s="13">
        <v>6881928</v>
      </c>
      <c r="D26" s="13">
        <v>388706</v>
      </c>
      <c r="E26" s="13">
        <v>0.4</v>
      </c>
      <c r="F26" s="12">
        <v>41065</v>
      </c>
      <c r="G26" s="13">
        <f>0.94-I26</f>
        <v>-0.53</v>
      </c>
      <c r="H26" s="13">
        <f>1.59-I26</f>
        <v>0.12000000000000011</v>
      </c>
      <c r="I26" s="13">
        <v>1.47</v>
      </c>
      <c r="J26" s="13" t="s">
        <v>119</v>
      </c>
      <c r="K26" s="25" t="s">
        <v>121</v>
      </c>
    </row>
    <row r="27" spans="1:11" ht="25.5" x14ac:dyDescent="0.2">
      <c r="A27" s="13" t="s">
        <v>371</v>
      </c>
      <c r="B27" s="25" t="s">
        <v>148</v>
      </c>
      <c r="C27" s="13">
        <v>6881810</v>
      </c>
      <c r="D27" s="13">
        <v>388867</v>
      </c>
      <c r="E27" s="13">
        <v>0.4</v>
      </c>
      <c r="F27" s="12">
        <v>41065</v>
      </c>
      <c r="G27" s="13">
        <f>0.96-I27</f>
        <v>-0.41000000000000014</v>
      </c>
      <c r="H27" s="13">
        <f>1.57-I27</f>
        <v>0.19999999999999996</v>
      </c>
      <c r="I27" s="13">
        <v>1.37</v>
      </c>
      <c r="J27" s="13" t="s">
        <v>137</v>
      </c>
      <c r="K27" s="25" t="s">
        <v>121</v>
      </c>
    </row>
    <row r="28" spans="1:11" x14ac:dyDescent="0.2">
      <c r="A28" s="13" t="s">
        <v>372</v>
      </c>
      <c r="B28" s="25" t="s">
        <v>149</v>
      </c>
      <c r="C28" s="13">
        <v>6881736</v>
      </c>
      <c r="D28" s="13">
        <v>388957</v>
      </c>
      <c r="E28" s="13">
        <v>0.4</v>
      </c>
      <c r="F28" s="12">
        <v>41065</v>
      </c>
      <c r="G28" s="13">
        <f>0.6-I28</f>
        <v>-9.9999999999999978E-2</v>
      </c>
      <c r="H28" s="13">
        <f>1.57-I28</f>
        <v>0.87000000000000011</v>
      </c>
      <c r="I28" s="13">
        <v>0.7</v>
      </c>
      <c r="J28" s="13" t="s">
        <v>150</v>
      </c>
      <c r="K28" s="25" t="s">
        <v>151</v>
      </c>
    </row>
    <row r="29" spans="1:11" x14ac:dyDescent="0.2">
      <c r="A29" s="13" t="s">
        <v>49</v>
      </c>
      <c r="B29" s="25" t="s">
        <v>152</v>
      </c>
      <c r="C29" s="13">
        <v>6880608</v>
      </c>
      <c r="D29" s="13">
        <v>389573</v>
      </c>
      <c r="E29" s="13">
        <v>1</v>
      </c>
      <c r="F29" s="12">
        <v>41062</v>
      </c>
      <c r="G29" s="13">
        <f>2.24-I29</f>
        <v>0.9800000000000002</v>
      </c>
      <c r="H29" s="13">
        <f>3.08-I29</f>
        <v>1.82</v>
      </c>
      <c r="I29" s="13">
        <v>1.26</v>
      </c>
      <c r="J29" s="13" t="s">
        <v>137</v>
      </c>
      <c r="K29" s="25" t="s">
        <v>121</v>
      </c>
    </row>
    <row r="30" spans="1:11" x14ac:dyDescent="0.2">
      <c r="A30" s="13" t="s">
        <v>50</v>
      </c>
      <c r="B30" s="25" t="s">
        <v>153</v>
      </c>
      <c r="C30" s="13">
        <v>6880590</v>
      </c>
      <c r="D30" s="13">
        <v>389546</v>
      </c>
      <c r="E30" s="13">
        <v>1</v>
      </c>
      <c r="F30" s="12">
        <v>41063</v>
      </c>
      <c r="G30" s="13">
        <f>1.34-I30</f>
        <v>0.25</v>
      </c>
      <c r="H30" s="13">
        <f>1.84-I30</f>
        <v>0.75</v>
      </c>
      <c r="I30" s="13">
        <v>1.0900000000000001</v>
      </c>
      <c r="J30" s="13" t="s">
        <v>137</v>
      </c>
      <c r="K30" s="25" t="s">
        <v>120</v>
      </c>
    </row>
    <row r="31" spans="1:11" x14ac:dyDescent="0.2">
      <c r="A31" s="13" t="s">
        <v>51</v>
      </c>
      <c r="B31" s="25" t="s">
        <v>154</v>
      </c>
      <c r="C31" s="13">
        <v>6880777</v>
      </c>
      <c r="D31" s="13">
        <v>389466</v>
      </c>
      <c r="E31" s="13">
        <v>0.4</v>
      </c>
      <c r="F31" s="12" t="s">
        <v>10</v>
      </c>
      <c r="G31" s="13" t="s">
        <v>10</v>
      </c>
      <c r="H31" s="13" t="s">
        <v>10</v>
      </c>
      <c r="I31" s="13" t="s">
        <v>10</v>
      </c>
      <c r="J31" s="13" t="s">
        <v>10</v>
      </c>
      <c r="K31" s="25" t="s">
        <v>155</v>
      </c>
    </row>
    <row r="32" spans="1:11" x14ac:dyDescent="0.2">
      <c r="A32" s="13" t="s">
        <v>53</v>
      </c>
      <c r="B32" s="25" t="s">
        <v>156</v>
      </c>
      <c r="C32" s="13" t="s">
        <v>10</v>
      </c>
      <c r="D32" s="13" t="s">
        <v>10</v>
      </c>
      <c r="E32" s="13">
        <v>0.4</v>
      </c>
      <c r="F32" s="12" t="s">
        <v>10</v>
      </c>
      <c r="G32" s="13" t="s">
        <v>10</v>
      </c>
      <c r="H32" s="13" t="s">
        <v>10</v>
      </c>
      <c r="I32" s="13" t="s">
        <v>10</v>
      </c>
      <c r="J32" s="13" t="s">
        <v>10</v>
      </c>
      <c r="K32" s="25" t="s">
        <v>155</v>
      </c>
    </row>
    <row r="33" spans="1:11" x14ac:dyDescent="0.2">
      <c r="A33" s="13" t="s">
        <v>373</v>
      </c>
      <c r="B33" s="25" t="s">
        <v>157</v>
      </c>
      <c r="C33" s="13">
        <v>6881709</v>
      </c>
      <c r="D33" s="13">
        <v>389156</v>
      </c>
      <c r="E33" s="13">
        <v>0.4</v>
      </c>
      <c r="F33" s="12">
        <v>41065</v>
      </c>
      <c r="G33" s="13">
        <f>0.855-I33</f>
        <v>-0.16500000000000004</v>
      </c>
      <c r="H33" s="13">
        <f>1.57-I33</f>
        <v>0.55000000000000004</v>
      </c>
      <c r="I33" s="13">
        <v>1.02</v>
      </c>
      <c r="J33" s="13" t="s">
        <v>158</v>
      </c>
      <c r="K33" s="25" t="s">
        <v>159</v>
      </c>
    </row>
    <row r="34" spans="1:11" x14ac:dyDescent="0.2">
      <c r="A34" s="13" t="s">
        <v>56</v>
      </c>
      <c r="B34" s="25" t="s">
        <v>160</v>
      </c>
      <c r="C34" s="13">
        <v>6880682</v>
      </c>
      <c r="D34" s="13">
        <v>389239</v>
      </c>
      <c r="E34" s="13">
        <v>1</v>
      </c>
      <c r="F34" s="12">
        <v>41064</v>
      </c>
      <c r="G34" s="13" t="s">
        <v>161</v>
      </c>
      <c r="H34" s="13" t="s">
        <v>10</v>
      </c>
      <c r="I34" s="13">
        <v>1.73</v>
      </c>
      <c r="J34" s="13" t="s">
        <v>10</v>
      </c>
      <c r="K34" s="25" t="s">
        <v>131</v>
      </c>
    </row>
    <row r="35" spans="1:11" x14ac:dyDescent="0.2">
      <c r="A35" s="13" t="s">
        <v>58</v>
      </c>
      <c r="B35" s="25" t="s">
        <v>160</v>
      </c>
      <c r="C35" s="13">
        <v>6880683</v>
      </c>
      <c r="D35" s="13">
        <v>389238</v>
      </c>
      <c r="E35" s="13">
        <v>1</v>
      </c>
      <c r="F35" s="12">
        <v>41064</v>
      </c>
      <c r="G35" s="13" t="s">
        <v>162</v>
      </c>
      <c r="H35" s="13" t="s">
        <v>10</v>
      </c>
      <c r="I35" s="13">
        <v>1.54</v>
      </c>
      <c r="J35" s="13" t="s">
        <v>10</v>
      </c>
      <c r="K35" s="25" t="s">
        <v>131</v>
      </c>
    </row>
    <row r="36" spans="1:11" x14ac:dyDescent="0.2">
      <c r="A36" s="13" t="s">
        <v>59</v>
      </c>
      <c r="B36" s="25" t="s">
        <v>160</v>
      </c>
      <c r="C36" s="13">
        <v>6880613</v>
      </c>
      <c r="D36" s="13">
        <v>389221</v>
      </c>
      <c r="E36" s="13">
        <v>1</v>
      </c>
      <c r="F36" s="12">
        <v>41064</v>
      </c>
      <c r="G36" s="13" t="s">
        <v>163</v>
      </c>
      <c r="H36" s="13" t="s">
        <v>10</v>
      </c>
      <c r="I36" s="13">
        <v>1.3</v>
      </c>
      <c r="J36" s="13" t="s">
        <v>10</v>
      </c>
      <c r="K36" s="25" t="s">
        <v>131</v>
      </c>
    </row>
    <row r="37" spans="1:11" x14ac:dyDescent="0.2">
      <c r="A37" s="13" t="s">
        <v>61</v>
      </c>
      <c r="B37" s="25" t="s">
        <v>160</v>
      </c>
      <c r="C37" s="13">
        <v>6880613</v>
      </c>
      <c r="D37" s="13">
        <v>389218</v>
      </c>
      <c r="E37" s="13">
        <v>1</v>
      </c>
      <c r="F37" s="12">
        <v>41064</v>
      </c>
      <c r="G37" s="13" t="s">
        <v>164</v>
      </c>
      <c r="H37" s="13" t="s">
        <v>10</v>
      </c>
      <c r="I37" s="13">
        <v>1.29</v>
      </c>
      <c r="J37" s="13" t="s">
        <v>10</v>
      </c>
      <c r="K37" s="25" t="s">
        <v>131</v>
      </c>
    </row>
    <row r="38" spans="1:11" x14ac:dyDescent="0.2">
      <c r="A38" s="13" t="s">
        <v>63</v>
      </c>
      <c r="B38" s="25" t="s">
        <v>165</v>
      </c>
      <c r="C38" s="13">
        <v>6880744</v>
      </c>
      <c r="D38" s="13">
        <v>389075</v>
      </c>
      <c r="E38" s="13">
        <v>0.4</v>
      </c>
      <c r="F38" s="12">
        <v>41064</v>
      </c>
      <c r="G38" s="13" t="s">
        <v>10</v>
      </c>
      <c r="H38" s="13" t="s">
        <v>10</v>
      </c>
      <c r="I38" s="13" t="s">
        <v>10</v>
      </c>
      <c r="J38" s="13" t="s">
        <v>10</v>
      </c>
      <c r="K38" s="25" t="s">
        <v>155</v>
      </c>
    </row>
    <row r="39" spans="1:11" x14ac:dyDescent="0.2">
      <c r="A39" s="13" t="s">
        <v>64</v>
      </c>
      <c r="B39" s="25" t="s">
        <v>166</v>
      </c>
      <c r="C39" s="13">
        <v>6880719</v>
      </c>
      <c r="D39" s="13">
        <v>389132</v>
      </c>
      <c r="E39" s="13">
        <v>0.4</v>
      </c>
      <c r="F39" s="12">
        <v>41065</v>
      </c>
      <c r="G39" s="13" t="s">
        <v>167</v>
      </c>
      <c r="H39" s="13" t="s">
        <v>10</v>
      </c>
      <c r="I39" s="13" t="s">
        <v>168</v>
      </c>
      <c r="J39" s="13" t="s">
        <v>10</v>
      </c>
      <c r="K39" s="25" t="s">
        <v>131</v>
      </c>
    </row>
    <row r="40" spans="1:11" x14ac:dyDescent="0.2">
      <c r="A40" s="13" t="s">
        <v>65</v>
      </c>
      <c r="B40" s="25" t="s">
        <v>129</v>
      </c>
      <c r="C40" s="13">
        <v>6881778</v>
      </c>
      <c r="D40" s="13">
        <v>388850</v>
      </c>
      <c r="E40" s="13">
        <v>2</v>
      </c>
      <c r="F40" s="12">
        <v>41064</v>
      </c>
      <c r="G40" s="13" t="s">
        <v>169</v>
      </c>
      <c r="H40" s="13" t="s">
        <v>10</v>
      </c>
      <c r="I40" s="13">
        <v>0.81</v>
      </c>
      <c r="J40" s="13" t="s">
        <v>10</v>
      </c>
      <c r="K40" s="25" t="s">
        <v>170</v>
      </c>
    </row>
    <row r="41" spans="1:11" x14ac:dyDescent="0.2">
      <c r="A41" s="13" t="s">
        <v>67</v>
      </c>
      <c r="B41" s="25" t="s">
        <v>171</v>
      </c>
      <c r="C41" s="13">
        <v>6881703</v>
      </c>
      <c r="D41" s="13">
        <v>389070</v>
      </c>
      <c r="E41" s="13">
        <v>2</v>
      </c>
      <c r="F41" s="12">
        <v>41064</v>
      </c>
      <c r="G41" s="13" t="s">
        <v>172</v>
      </c>
      <c r="H41" s="13">
        <v>5.75</v>
      </c>
      <c r="I41" s="13">
        <v>1.37</v>
      </c>
      <c r="J41" s="13" t="s">
        <v>10</v>
      </c>
      <c r="K41" s="25" t="s">
        <v>173</v>
      </c>
    </row>
    <row r="42" spans="1:11" x14ac:dyDescent="0.2">
      <c r="A42" s="13" t="s">
        <v>69</v>
      </c>
      <c r="B42" s="25" t="s">
        <v>174</v>
      </c>
      <c r="C42" s="13">
        <v>6881478</v>
      </c>
      <c r="D42" s="13">
        <v>388952</v>
      </c>
      <c r="E42" s="13">
        <v>2</v>
      </c>
      <c r="F42" s="12">
        <v>41061</v>
      </c>
      <c r="G42" s="13" t="s">
        <v>175</v>
      </c>
      <c r="H42" s="13" t="s">
        <v>10</v>
      </c>
      <c r="I42" s="13">
        <v>1.07</v>
      </c>
      <c r="J42" s="13" t="s">
        <v>10</v>
      </c>
      <c r="K42" s="25" t="s">
        <v>176</v>
      </c>
    </row>
    <row r="43" spans="1:11" x14ac:dyDescent="0.2">
      <c r="A43" s="13" t="s">
        <v>73</v>
      </c>
      <c r="B43" s="25" t="s">
        <v>177</v>
      </c>
      <c r="C43" s="13" t="s">
        <v>10</v>
      </c>
      <c r="D43" s="13" t="s">
        <v>10</v>
      </c>
      <c r="E43" s="13" t="s">
        <v>10</v>
      </c>
      <c r="F43" s="12" t="s">
        <v>10</v>
      </c>
      <c r="G43" s="13" t="s">
        <v>10</v>
      </c>
      <c r="H43" s="13" t="s">
        <v>10</v>
      </c>
      <c r="I43" s="13" t="s">
        <v>10</v>
      </c>
      <c r="J43" s="13" t="s">
        <v>10</v>
      </c>
      <c r="K43" s="25" t="s">
        <v>178</v>
      </c>
    </row>
    <row r="44" spans="1:11" x14ac:dyDescent="0.2">
      <c r="A44" s="13" t="s">
        <v>179</v>
      </c>
      <c r="B44" s="25" t="s">
        <v>180</v>
      </c>
      <c r="C44" s="13" t="s">
        <v>10</v>
      </c>
      <c r="D44" s="13" t="s">
        <v>10</v>
      </c>
      <c r="E44" s="13" t="s">
        <v>10</v>
      </c>
      <c r="F44" s="12">
        <v>41109</v>
      </c>
      <c r="G44" s="13" t="s">
        <v>10</v>
      </c>
      <c r="H44" s="13" t="s">
        <v>10</v>
      </c>
      <c r="I44" s="13" t="s">
        <v>10</v>
      </c>
      <c r="J44" s="13" t="s">
        <v>10</v>
      </c>
      <c r="K44" s="25" t="s">
        <v>367</v>
      </c>
    </row>
    <row r="45" spans="1:11" x14ac:dyDescent="0.2">
      <c r="A45" s="13" t="s">
        <v>75</v>
      </c>
      <c r="B45" s="25" t="s">
        <v>181</v>
      </c>
      <c r="C45" s="13">
        <v>6880599</v>
      </c>
      <c r="D45" s="13">
        <v>389559</v>
      </c>
      <c r="E45" s="13" t="s">
        <v>10</v>
      </c>
      <c r="F45" s="12">
        <v>41063</v>
      </c>
      <c r="G45" s="13" t="s">
        <v>10</v>
      </c>
      <c r="H45" s="13" t="s">
        <v>10</v>
      </c>
      <c r="I45" s="13" t="s">
        <v>10</v>
      </c>
      <c r="J45" s="13" t="s">
        <v>10</v>
      </c>
      <c r="K45" s="25" t="s">
        <v>182</v>
      </c>
    </row>
    <row r="46" spans="1:11" x14ac:dyDescent="0.2">
      <c r="A46" s="13" t="s">
        <v>77</v>
      </c>
      <c r="B46" s="25" t="s">
        <v>124</v>
      </c>
      <c r="C46" s="13">
        <v>6880593</v>
      </c>
      <c r="D46" s="13">
        <v>389610</v>
      </c>
      <c r="E46" s="13" t="s">
        <v>10</v>
      </c>
      <c r="F46" s="12">
        <v>41063</v>
      </c>
      <c r="G46" s="13" t="s">
        <v>10</v>
      </c>
      <c r="H46" s="13" t="s">
        <v>10</v>
      </c>
      <c r="I46" s="13" t="s">
        <v>10</v>
      </c>
      <c r="J46" s="13" t="s">
        <v>10</v>
      </c>
      <c r="K46" s="25" t="s">
        <v>183</v>
      </c>
    </row>
    <row r="47" spans="1:11" x14ac:dyDescent="0.2">
      <c r="A47" s="13" t="s">
        <v>78</v>
      </c>
      <c r="B47" s="25" t="s">
        <v>124</v>
      </c>
      <c r="C47" s="13">
        <v>6880695</v>
      </c>
      <c r="D47" s="13">
        <v>389602</v>
      </c>
      <c r="E47" s="13">
        <v>2</v>
      </c>
      <c r="F47" s="12">
        <v>41062</v>
      </c>
      <c r="G47" s="13">
        <f>4.13-I47</f>
        <v>3.6799999999999997</v>
      </c>
      <c r="H47" s="13">
        <f>4.32-I47</f>
        <v>3.87</v>
      </c>
      <c r="I47" s="13">
        <v>0.45</v>
      </c>
      <c r="J47" s="13" t="s">
        <v>10</v>
      </c>
      <c r="K47" s="25" t="s">
        <v>184</v>
      </c>
    </row>
    <row r="48" spans="1:11" x14ac:dyDescent="0.2">
      <c r="A48" s="13" t="s">
        <v>80</v>
      </c>
      <c r="B48" s="25" t="s">
        <v>124</v>
      </c>
      <c r="C48" s="13">
        <v>6880580</v>
      </c>
      <c r="D48" s="13">
        <v>389606</v>
      </c>
      <c r="E48" s="13">
        <v>2</v>
      </c>
      <c r="F48" s="12">
        <v>41063</v>
      </c>
      <c r="G48" s="13" t="s">
        <v>185</v>
      </c>
      <c r="H48" s="13" t="s">
        <v>10</v>
      </c>
      <c r="I48" s="13">
        <v>0.43</v>
      </c>
      <c r="J48" s="13" t="s">
        <v>10</v>
      </c>
      <c r="K48" s="25" t="s">
        <v>131</v>
      </c>
    </row>
    <row r="49" spans="1:11" x14ac:dyDescent="0.2">
      <c r="A49" s="13" t="s">
        <v>82</v>
      </c>
      <c r="B49" s="25" t="s">
        <v>124</v>
      </c>
      <c r="C49" s="13">
        <v>6880570</v>
      </c>
      <c r="D49" s="13">
        <v>389613</v>
      </c>
      <c r="E49" s="13">
        <v>2</v>
      </c>
      <c r="F49" s="12">
        <v>41063</v>
      </c>
      <c r="G49" s="13" t="s">
        <v>10</v>
      </c>
      <c r="H49" s="13" t="s">
        <v>10</v>
      </c>
      <c r="I49" s="13" t="s">
        <v>10</v>
      </c>
      <c r="J49" s="13" t="s">
        <v>10</v>
      </c>
      <c r="K49" s="25" t="s">
        <v>186</v>
      </c>
    </row>
    <row r="50" spans="1:11" x14ac:dyDescent="0.2">
      <c r="F50" s="29"/>
    </row>
    <row r="51" spans="1:11" x14ac:dyDescent="0.2">
      <c r="A51" s="19" t="s">
        <v>84</v>
      </c>
      <c r="F51" s="29"/>
    </row>
    <row r="52" spans="1:11" x14ac:dyDescent="0.2">
      <c r="A52" s="3" t="s">
        <v>187</v>
      </c>
    </row>
    <row r="53" spans="1:11" x14ac:dyDescent="0.2">
      <c r="A53" s="3" t="s">
        <v>188</v>
      </c>
    </row>
    <row r="54" spans="1:11" x14ac:dyDescent="0.2">
      <c r="A54" s="3" t="s">
        <v>189</v>
      </c>
    </row>
    <row r="55" spans="1:11" x14ac:dyDescent="0.2">
      <c r="A55" s="3" t="s">
        <v>190</v>
      </c>
    </row>
    <row r="56" spans="1:11" x14ac:dyDescent="0.2">
      <c r="A56" s="3" t="s">
        <v>191</v>
      </c>
    </row>
    <row r="57" spans="1:11" x14ac:dyDescent="0.2">
      <c r="A57" s="131" t="s">
        <v>374</v>
      </c>
    </row>
  </sheetData>
  <mergeCells count="11">
    <mergeCell ref="I2:I4"/>
    <mergeCell ref="B2:D2"/>
    <mergeCell ref="B3:B4"/>
    <mergeCell ref="A2:A4"/>
    <mergeCell ref="K2:K4"/>
    <mergeCell ref="J2:J4"/>
    <mergeCell ref="E2:E4"/>
    <mergeCell ref="C3:D3"/>
    <mergeCell ref="F2:F4"/>
    <mergeCell ref="G2:G4"/>
    <mergeCell ref="H2:H4"/>
  </mergeCells>
  <phoneticPr fontId="0" type="noConversion"/>
  <printOptions horizontalCentered="1"/>
  <pageMargins left="0.35433070866141736" right="0.31496062992125984" top="1.1417322834645669" bottom="0.98425196850393704" header="0.51181102362204722" footer="0.51181102362204722"/>
  <pageSetup paperSize="3" scale="85" orientation="landscape" horizontalDpi="300" r:id="rId1"/>
  <headerFooter scaleWithDoc="0" alignWithMargins="0">
    <oddHeader>&amp;R&amp;"Gill Sans MT,Regular"&amp;9&amp;K06+000GROUNDWATER SAMPLING METHODS AND RESULTS REPORT - MT NANSEN, YT
EBA FILE: W23101586 | NOVEMBER 5, 2012 | ISSUED FOR USE</oddHeader>
    <oddFooter>&amp;L&amp;6&amp;K06+000&amp;F
&amp;G&amp;C&amp;"Gill Sans MT,Regular"&amp;9&amp;K04+000&amp;P&amp;R&amp;G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0"/>
  <sheetViews>
    <sheetView showWhiteSpace="0" view="pageLayout" zoomScaleNormal="100" workbookViewId="0">
      <selection activeCell="B3" sqref="B3:C3"/>
    </sheetView>
  </sheetViews>
  <sheetFormatPr defaultColWidth="9.140625" defaultRowHeight="12.75" x14ac:dyDescent="0.2"/>
  <cols>
    <col min="1" max="1" width="14.140625" style="2" customWidth="1"/>
    <col min="2" max="3" width="12.28515625" style="2" customWidth="1"/>
    <col min="4" max="4" width="40.7109375" style="2" bestFit="1" customWidth="1"/>
    <col min="5" max="16384" width="9.140625" style="2"/>
  </cols>
  <sheetData>
    <row r="1" spans="1:4" ht="15.75" x14ac:dyDescent="0.25">
      <c r="A1" s="1" t="s">
        <v>88</v>
      </c>
      <c r="B1" s="1"/>
      <c r="C1" s="1"/>
      <c r="D1" s="1"/>
    </row>
    <row r="2" spans="1:4" ht="25.5" customHeight="1" x14ac:dyDescent="0.2">
      <c r="A2" s="140" t="s">
        <v>0</v>
      </c>
      <c r="B2" s="26" t="s">
        <v>89</v>
      </c>
      <c r="C2" s="26" t="s">
        <v>90</v>
      </c>
      <c r="D2" s="132" t="s">
        <v>91</v>
      </c>
    </row>
    <row r="3" spans="1:4" ht="12.75" customHeight="1" x14ac:dyDescent="0.2">
      <c r="A3" s="141"/>
      <c r="B3" s="138" t="s">
        <v>92</v>
      </c>
      <c r="C3" s="138"/>
      <c r="D3" s="133"/>
    </row>
    <row r="4" spans="1:4" x14ac:dyDescent="0.2">
      <c r="A4" s="142"/>
      <c r="B4" s="139" t="s">
        <v>93</v>
      </c>
      <c r="C4" s="139"/>
      <c r="D4" s="134"/>
    </row>
    <row r="5" spans="1:4" x14ac:dyDescent="0.2">
      <c r="A5" s="13" t="s">
        <v>69</v>
      </c>
      <c r="B5" s="24"/>
      <c r="C5" s="24">
        <v>2.7E-6</v>
      </c>
      <c r="D5" s="25" t="s">
        <v>94</v>
      </c>
    </row>
    <row r="6" spans="1:4" x14ac:dyDescent="0.2">
      <c r="A6" s="13" t="s">
        <v>69</v>
      </c>
      <c r="B6" s="24"/>
      <c r="C6" s="24">
        <v>1.5E-6</v>
      </c>
      <c r="D6" s="25"/>
    </row>
    <row r="7" spans="1:4" x14ac:dyDescent="0.2">
      <c r="A7" s="13" t="s">
        <v>8</v>
      </c>
      <c r="B7" s="24">
        <v>6.1399999999999997E-6</v>
      </c>
      <c r="C7" s="24"/>
      <c r="D7" s="25" t="s">
        <v>95</v>
      </c>
    </row>
    <row r="8" spans="1:4" x14ac:dyDescent="0.2">
      <c r="A8" s="13" t="s">
        <v>12</v>
      </c>
      <c r="B8" s="24">
        <v>3.4E-5</v>
      </c>
      <c r="C8" s="24">
        <v>1.04E-6</v>
      </c>
      <c r="D8" s="25" t="s">
        <v>96</v>
      </c>
    </row>
    <row r="9" spans="1:4" x14ac:dyDescent="0.2">
      <c r="A9" s="13" t="s">
        <v>13</v>
      </c>
      <c r="B9" s="24">
        <v>1.15E-5</v>
      </c>
      <c r="C9" s="24">
        <f>0.00000553</f>
        <v>5.5300000000000004E-6</v>
      </c>
      <c r="D9" s="25" t="s">
        <v>95</v>
      </c>
    </row>
    <row r="10" spans="1:4" x14ac:dyDescent="0.2">
      <c r="A10" s="13" t="s">
        <v>17</v>
      </c>
      <c r="B10" s="24">
        <v>7.1200000000000002E-7</v>
      </c>
      <c r="C10" s="24"/>
      <c r="D10" s="25" t="s">
        <v>97</v>
      </c>
    </row>
    <row r="11" spans="1:4" x14ac:dyDescent="0.2">
      <c r="A11" s="13" t="s">
        <v>20</v>
      </c>
      <c r="B11" s="24"/>
      <c r="C11" s="24">
        <v>2.04E-6</v>
      </c>
      <c r="D11" s="25" t="s">
        <v>98</v>
      </c>
    </row>
    <row r="12" spans="1:4" x14ac:dyDescent="0.2">
      <c r="A12" s="13" t="s">
        <v>28</v>
      </c>
      <c r="B12" s="24"/>
      <c r="C12" s="24">
        <v>1.1999999999999999E-6</v>
      </c>
      <c r="D12" s="25" t="s">
        <v>99</v>
      </c>
    </row>
    <row r="13" spans="1:4" x14ac:dyDescent="0.2">
      <c r="A13" s="13" t="s">
        <v>32</v>
      </c>
      <c r="B13" s="24">
        <f>AVERAGE(0.00159, 0.0014)</f>
        <v>1.495E-3</v>
      </c>
      <c r="C13" s="24"/>
      <c r="D13" s="25" t="s">
        <v>100</v>
      </c>
    </row>
    <row r="14" spans="1:4" x14ac:dyDescent="0.2">
      <c r="A14" s="13" t="s">
        <v>34</v>
      </c>
      <c r="B14" s="24">
        <v>6.0099999999999997E-4</v>
      </c>
      <c r="C14" s="24"/>
      <c r="D14" s="25" t="s">
        <v>101</v>
      </c>
    </row>
    <row r="15" spans="1:4" x14ac:dyDescent="0.2">
      <c r="A15" s="13" t="s">
        <v>41</v>
      </c>
      <c r="B15" s="24">
        <f>AVERAGE(0.00000723, 0.00000496)</f>
        <v>6.0950000000000001E-6</v>
      </c>
      <c r="C15" s="24"/>
      <c r="D15" s="25" t="s">
        <v>102</v>
      </c>
    </row>
    <row r="16" spans="1:4" x14ac:dyDescent="0.2">
      <c r="A16" s="13" t="s">
        <v>42</v>
      </c>
      <c r="B16" s="24">
        <f>AVERAGE(0.0000265,0.0000241)</f>
        <v>2.5299999999999998E-5</v>
      </c>
      <c r="C16" s="24">
        <v>1.29E-5</v>
      </c>
      <c r="D16" s="25" t="s">
        <v>103</v>
      </c>
    </row>
    <row r="17" spans="1:4" x14ac:dyDescent="0.2">
      <c r="A17" s="13" t="s">
        <v>43</v>
      </c>
      <c r="B17" s="24">
        <f>AVERAGE(0.0000693,0.0000455)</f>
        <v>5.7399999999999999E-5</v>
      </c>
      <c r="C17" s="24"/>
      <c r="D17" s="25" t="s">
        <v>104</v>
      </c>
    </row>
    <row r="18" spans="1:4" x14ac:dyDescent="0.2">
      <c r="A18" s="13" t="s">
        <v>49</v>
      </c>
      <c r="B18" s="24">
        <f>AVERAGE(0.0000244,2.78E-78)</f>
        <v>1.22E-5</v>
      </c>
      <c r="C18" s="24"/>
      <c r="D18" s="25" t="s">
        <v>105</v>
      </c>
    </row>
    <row r="19" spans="1:4" x14ac:dyDescent="0.2">
      <c r="A19" s="13" t="s">
        <v>50</v>
      </c>
      <c r="B19" s="24">
        <f>AVERAGE(0.0000505,0.0000523)</f>
        <v>5.1400000000000003E-5</v>
      </c>
      <c r="C19" s="24"/>
      <c r="D19" s="25" t="s">
        <v>105</v>
      </c>
    </row>
    <row r="20" spans="1:4" x14ac:dyDescent="0.2">
      <c r="A20"/>
      <c r="B20"/>
      <c r="C20"/>
      <c r="D20"/>
    </row>
  </sheetData>
  <mergeCells count="4">
    <mergeCell ref="B3:C3"/>
    <mergeCell ref="D2:D4"/>
    <mergeCell ref="B4:C4"/>
    <mergeCell ref="A2:A4"/>
  </mergeCells>
  <phoneticPr fontId="0" type="noConversion"/>
  <printOptions horizontalCentered="1"/>
  <pageMargins left="0.35433070866141736" right="0.31496062992125984" top="1.1417322834645669" bottom="0.98425196850393704" header="0.51181102362204722" footer="0.51181102362204722"/>
  <pageSetup orientation="landscape" horizontalDpi="300" r:id="rId1"/>
  <headerFooter scaleWithDoc="0" alignWithMargins="0">
    <oddHeader>&amp;R&amp;"Gill Sans MT,Regular"&amp;9&amp;K06+000REPORT TITLE (OPTIONAL)
EBA FILE: JOB NUMBER | DATE | STATUS</oddHeader>
    <oddFooter>&amp;L&amp;6&amp;K06+000&amp;F
&amp;G&amp;C&amp;"Gill Sans MT,Regular"&amp;9&amp;K04+000&amp;P&amp;R&amp;G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4"/>
  <sheetViews>
    <sheetView view="pageLayout" topLeftCell="A16" zoomScaleNormal="100" workbookViewId="0">
      <selection activeCell="C7" sqref="C7"/>
    </sheetView>
  </sheetViews>
  <sheetFormatPr defaultRowHeight="12.75" x14ac:dyDescent="0.2"/>
  <cols>
    <col min="1" max="1" width="14.28515625" style="2" customWidth="1"/>
    <col min="2" max="2" width="14.140625" style="2" customWidth="1"/>
    <col min="3" max="3" width="12.140625" style="2" customWidth="1"/>
    <col min="4" max="4" width="20" style="2" customWidth="1"/>
    <col min="5" max="5" width="17" style="2" customWidth="1"/>
    <col min="6" max="6" width="16.140625" style="2" customWidth="1"/>
    <col min="7" max="7" width="33.42578125" style="2" customWidth="1"/>
    <col min="8" max="16384" width="9.140625" style="2"/>
  </cols>
  <sheetData>
    <row r="1" spans="1:7" ht="21" customHeight="1" x14ac:dyDescent="0.25">
      <c r="A1" s="1" t="s">
        <v>346</v>
      </c>
      <c r="B1" s="4"/>
      <c r="C1" s="5"/>
      <c r="D1" s="5"/>
      <c r="E1" s="5"/>
      <c r="F1" s="5"/>
      <c r="G1" s="5"/>
    </row>
    <row r="2" spans="1:7" x14ac:dyDescent="0.2">
      <c r="A2" s="138" t="s">
        <v>0</v>
      </c>
      <c r="B2" s="138" t="s">
        <v>1</v>
      </c>
      <c r="C2" s="138"/>
      <c r="D2" s="138"/>
      <c r="E2" s="138"/>
      <c r="F2" s="138"/>
      <c r="G2" s="143" t="s">
        <v>2</v>
      </c>
    </row>
    <row r="3" spans="1:7" ht="18" customHeight="1" x14ac:dyDescent="0.2">
      <c r="A3" s="138"/>
      <c r="B3" s="146" t="s">
        <v>368</v>
      </c>
      <c r="C3" s="138" t="s">
        <v>3</v>
      </c>
      <c r="D3" s="138" t="s">
        <v>4</v>
      </c>
      <c r="E3" s="138"/>
      <c r="F3" s="138"/>
      <c r="G3" s="144"/>
    </row>
    <row r="4" spans="1:7" ht="25.5" x14ac:dyDescent="0.2">
      <c r="A4" s="138"/>
      <c r="B4" s="146"/>
      <c r="C4" s="138"/>
      <c r="D4" s="6" t="s">
        <v>5</v>
      </c>
      <c r="E4" s="6" t="s">
        <v>6</v>
      </c>
      <c r="F4" s="6" t="s">
        <v>7</v>
      </c>
      <c r="G4" s="145"/>
    </row>
    <row r="5" spans="1:7" ht="18" customHeight="1" x14ac:dyDescent="0.2">
      <c r="A5" s="7" t="s">
        <v>8</v>
      </c>
      <c r="B5" s="8">
        <v>41062</v>
      </c>
      <c r="C5" s="9" t="s">
        <v>9</v>
      </c>
      <c r="D5" s="10" t="s">
        <v>10</v>
      </c>
      <c r="E5" s="10"/>
      <c r="F5" s="10" t="s">
        <v>10</v>
      </c>
      <c r="G5" s="7" t="s">
        <v>11</v>
      </c>
    </row>
    <row r="6" spans="1:7" ht="18" customHeight="1" x14ac:dyDescent="0.2">
      <c r="A6" s="11" t="s">
        <v>12</v>
      </c>
      <c r="B6" s="12">
        <v>41062</v>
      </c>
      <c r="C6" s="13" t="s">
        <v>9</v>
      </c>
      <c r="D6" s="14" t="s">
        <v>10</v>
      </c>
      <c r="E6" s="14"/>
      <c r="F6" s="14" t="s">
        <v>10</v>
      </c>
      <c r="G6" s="11" t="s">
        <v>11</v>
      </c>
    </row>
    <row r="7" spans="1:7" ht="18" customHeight="1" x14ac:dyDescent="0.2">
      <c r="A7" s="11" t="s">
        <v>13</v>
      </c>
      <c r="B7" s="12">
        <v>41062</v>
      </c>
      <c r="C7" s="13" t="s">
        <v>9</v>
      </c>
      <c r="D7" s="13" t="s">
        <v>14</v>
      </c>
      <c r="E7" s="13" t="s">
        <v>15</v>
      </c>
      <c r="F7" s="13" t="s">
        <v>16</v>
      </c>
      <c r="G7" s="11"/>
    </row>
    <row r="8" spans="1:7" ht="18" customHeight="1" x14ac:dyDescent="0.2">
      <c r="A8" s="11" t="s">
        <v>17</v>
      </c>
      <c r="B8" s="12">
        <v>41062</v>
      </c>
      <c r="C8" s="13" t="s">
        <v>9</v>
      </c>
      <c r="D8" s="13" t="s">
        <v>14</v>
      </c>
      <c r="E8" s="13" t="s">
        <v>15</v>
      </c>
      <c r="F8" s="13" t="s">
        <v>16</v>
      </c>
      <c r="G8" s="11"/>
    </row>
    <row r="9" spans="1:7" ht="18" customHeight="1" x14ac:dyDescent="0.2">
      <c r="A9" s="11" t="s">
        <v>18</v>
      </c>
      <c r="B9" s="15" t="s">
        <v>10</v>
      </c>
      <c r="C9" s="14" t="s">
        <v>10</v>
      </c>
      <c r="D9" s="14" t="s">
        <v>10</v>
      </c>
      <c r="E9" s="14"/>
      <c r="F9" s="14" t="s">
        <v>10</v>
      </c>
      <c r="G9" s="11" t="s">
        <v>19</v>
      </c>
    </row>
    <row r="10" spans="1:7" ht="18" customHeight="1" x14ac:dyDescent="0.2">
      <c r="A10" s="11" t="s">
        <v>20</v>
      </c>
      <c r="B10" s="15" t="s">
        <v>10</v>
      </c>
      <c r="C10" s="14" t="s">
        <v>10</v>
      </c>
      <c r="D10" s="14" t="s">
        <v>10</v>
      </c>
      <c r="E10" s="14"/>
      <c r="F10" s="14" t="s">
        <v>10</v>
      </c>
      <c r="G10" s="11" t="s">
        <v>19</v>
      </c>
    </row>
    <row r="11" spans="1:7" ht="18" customHeight="1" x14ac:dyDescent="0.2">
      <c r="A11" s="11" t="s">
        <v>21</v>
      </c>
      <c r="B11" s="15" t="s">
        <v>10</v>
      </c>
      <c r="C11" s="14" t="s">
        <v>10</v>
      </c>
      <c r="D11" s="14" t="s">
        <v>10</v>
      </c>
      <c r="E11" s="14"/>
      <c r="F11" s="14" t="s">
        <v>10</v>
      </c>
      <c r="G11" s="11" t="s">
        <v>19</v>
      </c>
    </row>
    <row r="12" spans="1:7" ht="18" customHeight="1" x14ac:dyDescent="0.2">
      <c r="A12" s="11" t="s">
        <v>22</v>
      </c>
      <c r="B12" s="15" t="s">
        <v>10</v>
      </c>
      <c r="C12" s="14" t="s">
        <v>10</v>
      </c>
      <c r="D12" s="14" t="s">
        <v>10</v>
      </c>
      <c r="E12" s="14"/>
      <c r="F12" s="14" t="s">
        <v>10</v>
      </c>
      <c r="G12" s="11" t="s">
        <v>23</v>
      </c>
    </row>
    <row r="13" spans="1:7" ht="18" customHeight="1" x14ac:dyDescent="0.2">
      <c r="A13" s="11" t="s">
        <v>24</v>
      </c>
      <c r="B13" s="15" t="s">
        <v>10</v>
      </c>
      <c r="C13" s="14" t="s">
        <v>10</v>
      </c>
      <c r="D13" s="14" t="s">
        <v>10</v>
      </c>
      <c r="E13" s="14"/>
      <c r="F13" s="14" t="s">
        <v>10</v>
      </c>
      <c r="G13" s="11" t="s">
        <v>25</v>
      </c>
    </row>
    <row r="14" spans="1:7" ht="18" customHeight="1" x14ac:dyDescent="0.2">
      <c r="A14" s="11" t="s">
        <v>26</v>
      </c>
      <c r="B14" s="15" t="s">
        <v>10</v>
      </c>
      <c r="C14" s="14" t="s">
        <v>10</v>
      </c>
      <c r="D14" s="14" t="s">
        <v>10</v>
      </c>
      <c r="E14" s="14"/>
      <c r="F14" s="14" t="s">
        <v>10</v>
      </c>
      <c r="G14" s="11" t="s">
        <v>25</v>
      </c>
    </row>
    <row r="15" spans="1:7" ht="18" customHeight="1" x14ac:dyDescent="0.2">
      <c r="A15" s="11" t="s">
        <v>27</v>
      </c>
      <c r="B15" s="15" t="s">
        <v>10</v>
      </c>
      <c r="C15" s="14" t="s">
        <v>10</v>
      </c>
      <c r="D15" s="14" t="s">
        <v>10</v>
      </c>
      <c r="E15" s="14"/>
      <c r="F15" s="14" t="s">
        <v>10</v>
      </c>
      <c r="G15" s="11" t="s">
        <v>25</v>
      </c>
    </row>
    <row r="16" spans="1:7" ht="18" customHeight="1" x14ac:dyDescent="0.2">
      <c r="A16" s="11" t="s">
        <v>28</v>
      </c>
      <c r="B16" s="15" t="s">
        <v>10</v>
      </c>
      <c r="C16" s="14" t="s">
        <v>10</v>
      </c>
      <c r="D16" s="13" t="s">
        <v>14</v>
      </c>
      <c r="E16" s="13" t="s">
        <v>29</v>
      </c>
      <c r="F16" s="13" t="s">
        <v>16</v>
      </c>
      <c r="G16" s="11" t="s">
        <v>25</v>
      </c>
    </row>
    <row r="17" spans="1:7" ht="18" customHeight="1" x14ac:dyDescent="0.2">
      <c r="A17" s="11" t="s">
        <v>30</v>
      </c>
      <c r="B17" s="15" t="s">
        <v>10</v>
      </c>
      <c r="C17" s="14" t="s">
        <v>10</v>
      </c>
      <c r="D17" s="14" t="s">
        <v>10</v>
      </c>
      <c r="E17" s="14"/>
      <c r="F17" s="14" t="s">
        <v>10</v>
      </c>
      <c r="G17" s="11" t="s">
        <v>31</v>
      </c>
    </row>
    <row r="18" spans="1:7" ht="18" customHeight="1" x14ac:dyDescent="0.2">
      <c r="A18" s="11" t="s">
        <v>32</v>
      </c>
      <c r="B18" s="12">
        <v>41061</v>
      </c>
      <c r="C18" s="13" t="s">
        <v>33</v>
      </c>
      <c r="D18" s="14" t="s">
        <v>10</v>
      </c>
      <c r="E18" s="14"/>
      <c r="F18" s="14" t="s">
        <v>10</v>
      </c>
      <c r="G18" s="11"/>
    </row>
    <row r="19" spans="1:7" ht="18" customHeight="1" x14ac:dyDescent="0.2">
      <c r="A19" s="11" t="s">
        <v>34</v>
      </c>
      <c r="B19" s="12">
        <v>41061</v>
      </c>
      <c r="C19" s="13" t="s">
        <v>33</v>
      </c>
      <c r="D19" s="14" t="s">
        <v>10</v>
      </c>
      <c r="E19" s="14"/>
      <c r="F19" s="14" t="s">
        <v>10</v>
      </c>
      <c r="G19" s="11"/>
    </row>
    <row r="20" spans="1:7" ht="18" customHeight="1" x14ac:dyDescent="0.2">
      <c r="A20" s="11" t="s">
        <v>35</v>
      </c>
      <c r="B20" s="15" t="s">
        <v>10</v>
      </c>
      <c r="C20" s="15" t="s">
        <v>10</v>
      </c>
      <c r="D20" s="14" t="s">
        <v>10</v>
      </c>
      <c r="E20" s="14"/>
      <c r="F20" s="14" t="s">
        <v>10</v>
      </c>
      <c r="G20" s="11" t="s">
        <v>36</v>
      </c>
    </row>
    <row r="21" spans="1:7" ht="18" customHeight="1" x14ac:dyDescent="0.2">
      <c r="A21" s="11" t="s">
        <v>37</v>
      </c>
      <c r="B21" s="15" t="s">
        <v>10</v>
      </c>
      <c r="C21" s="15" t="s">
        <v>10</v>
      </c>
      <c r="D21" s="14" t="s">
        <v>10</v>
      </c>
      <c r="E21" s="14"/>
      <c r="F21" s="14" t="s">
        <v>10</v>
      </c>
      <c r="G21" s="11" t="s">
        <v>38</v>
      </c>
    </row>
    <row r="22" spans="1:7" ht="18" customHeight="1" x14ac:dyDescent="0.2">
      <c r="A22" s="11" t="s">
        <v>39</v>
      </c>
      <c r="B22" s="15" t="s">
        <v>10</v>
      </c>
      <c r="C22" s="15" t="s">
        <v>10</v>
      </c>
      <c r="D22" s="13" t="s">
        <v>14</v>
      </c>
      <c r="E22" s="13" t="s">
        <v>15</v>
      </c>
      <c r="F22" s="13" t="s">
        <v>40</v>
      </c>
      <c r="G22" s="11" t="s">
        <v>23</v>
      </c>
    </row>
    <row r="23" spans="1:7" ht="18" customHeight="1" x14ac:dyDescent="0.2">
      <c r="A23" s="11" t="s">
        <v>41</v>
      </c>
      <c r="B23" s="12">
        <v>41064</v>
      </c>
      <c r="C23" s="13" t="s">
        <v>9</v>
      </c>
      <c r="D23" s="14" t="s">
        <v>10</v>
      </c>
      <c r="E23" s="14"/>
      <c r="F23" s="14" t="s">
        <v>10</v>
      </c>
      <c r="G23" s="11"/>
    </row>
    <row r="24" spans="1:7" ht="18" customHeight="1" x14ac:dyDescent="0.2">
      <c r="A24" s="11" t="s">
        <v>42</v>
      </c>
      <c r="B24" s="12">
        <v>41063</v>
      </c>
      <c r="C24" s="13" t="s">
        <v>9</v>
      </c>
      <c r="D24" s="13" t="s">
        <v>14</v>
      </c>
      <c r="E24" s="13" t="s">
        <v>15</v>
      </c>
      <c r="F24" s="13" t="s">
        <v>16</v>
      </c>
      <c r="G24" s="11"/>
    </row>
    <row r="25" spans="1:7" ht="18" customHeight="1" x14ac:dyDescent="0.2">
      <c r="A25" s="11" t="s">
        <v>43</v>
      </c>
      <c r="B25" s="12">
        <v>41066</v>
      </c>
      <c r="C25" s="13" t="s">
        <v>33</v>
      </c>
      <c r="D25" s="14" t="s">
        <v>10</v>
      </c>
      <c r="E25" s="14"/>
      <c r="F25" s="14" t="s">
        <v>10</v>
      </c>
      <c r="G25" s="11"/>
    </row>
    <row r="26" spans="1:7" ht="18" customHeight="1" x14ac:dyDescent="0.2">
      <c r="A26" s="11" t="s">
        <v>44</v>
      </c>
      <c r="B26" s="12">
        <v>41065</v>
      </c>
      <c r="C26" s="14" t="s">
        <v>10</v>
      </c>
      <c r="D26" s="14" t="s">
        <v>10</v>
      </c>
      <c r="E26" s="14"/>
      <c r="F26" s="14" t="s">
        <v>10</v>
      </c>
      <c r="G26" s="11" t="s">
        <v>45</v>
      </c>
    </row>
    <row r="27" spans="1:7" ht="18" customHeight="1" x14ac:dyDescent="0.2">
      <c r="A27" s="11" t="s">
        <v>46</v>
      </c>
      <c r="B27" s="12">
        <v>41066</v>
      </c>
      <c r="C27" s="14" t="s">
        <v>10</v>
      </c>
      <c r="D27" s="14" t="s">
        <v>10</v>
      </c>
      <c r="E27" s="14"/>
      <c r="F27" s="14" t="s">
        <v>10</v>
      </c>
      <c r="G27" s="11" t="s">
        <v>45</v>
      </c>
    </row>
    <row r="28" spans="1:7" ht="18" customHeight="1" x14ac:dyDescent="0.2">
      <c r="A28" s="11" t="s">
        <v>47</v>
      </c>
      <c r="B28" s="15" t="s">
        <v>10</v>
      </c>
      <c r="C28" s="14" t="s">
        <v>10</v>
      </c>
      <c r="D28" s="14" t="s">
        <v>10</v>
      </c>
      <c r="E28" s="14"/>
      <c r="F28" s="14" t="s">
        <v>10</v>
      </c>
      <c r="G28" s="11" t="s">
        <v>48</v>
      </c>
    </row>
    <row r="29" spans="1:7" ht="18" customHeight="1" x14ac:dyDescent="0.2">
      <c r="A29" s="11" t="s">
        <v>49</v>
      </c>
      <c r="B29" s="12">
        <v>41063</v>
      </c>
      <c r="C29" s="13" t="s">
        <v>33</v>
      </c>
      <c r="D29" s="14" t="s">
        <v>10</v>
      </c>
      <c r="E29" s="14"/>
      <c r="F29" s="14" t="s">
        <v>10</v>
      </c>
      <c r="G29" s="11"/>
    </row>
    <row r="30" spans="1:7" ht="18" customHeight="1" x14ac:dyDescent="0.2">
      <c r="A30" s="11" t="s">
        <v>50</v>
      </c>
      <c r="B30" s="12">
        <v>41063</v>
      </c>
      <c r="C30" s="13" t="s">
        <v>33</v>
      </c>
      <c r="D30" s="14" t="s">
        <v>10</v>
      </c>
      <c r="E30" s="14"/>
      <c r="F30" s="14" t="s">
        <v>10</v>
      </c>
      <c r="G30" s="11" t="s">
        <v>11</v>
      </c>
    </row>
    <row r="31" spans="1:7" ht="18" customHeight="1" x14ac:dyDescent="0.2">
      <c r="A31" s="11" t="s">
        <v>51</v>
      </c>
      <c r="B31" s="15" t="s">
        <v>10</v>
      </c>
      <c r="C31" s="14" t="s">
        <v>10</v>
      </c>
      <c r="D31" s="14" t="s">
        <v>10</v>
      </c>
      <c r="E31" s="14"/>
      <c r="F31" s="14" t="s">
        <v>10</v>
      </c>
      <c r="G31" s="11" t="s">
        <v>52</v>
      </c>
    </row>
    <row r="32" spans="1:7" ht="18" customHeight="1" x14ac:dyDescent="0.2">
      <c r="A32" s="11" t="s">
        <v>53</v>
      </c>
      <c r="B32" s="15" t="s">
        <v>10</v>
      </c>
      <c r="C32" s="14" t="s">
        <v>10</v>
      </c>
      <c r="D32" s="14" t="s">
        <v>10</v>
      </c>
      <c r="E32" s="14"/>
      <c r="F32" s="14" t="s">
        <v>10</v>
      </c>
      <c r="G32" s="11" t="s">
        <v>54</v>
      </c>
    </row>
    <row r="33" spans="1:7" ht="18" customHeight="1" x14ac:dyDescent="0.2">
      <c r="A33" s="11" t="s">
        <v>55</v>
      </c>
      <c r="B33" s="12">
        <v>41065</v>
      </c>
      <c r="C33" s="14" t="s">
        <v>10</v>
      </c>
      <c r="D33" s="14" t="s">
        <v>10</v>
      </c>
      <c r="E33" s="14"/>
      <c r="F33" s="14" t="s">
        <v>10</v>
      </c>
      <c r="G33" s="11" t="s">
        <v>45</v>
      </c>
    </row>
    <row r="34" spans="1:7" ht="18" customHeight="1" x14ac:dyDescent="0.2">
      <c r="A34" s="11" t="s">
        <v>56</v>
      </c>
      <c r="B34" s="15" t="s">
        <v>10</v>
      </c>
      <c r="C34" s="15" t="s">
        <v>10</v>
      </c>
      <c r="D34" s="15" t="s">
        <v>10</v>
      </c>
      <c r="E34" s="15"/>
      <c r="F34" s="15" t="s">
        <v>10</v>
      </c>
      <c r="G34" s="11" t="s">
        <v>57</v>
      </c>
    </row>
    <row r="35" spans="1:7" ht="18" customHeight="1" x14ac:dyDescent="0.2">
      <c r="A35" s="11" t="s">
        <v>58</v>
      </c>
      <c r="B35" s="15" t="s">
        <v>10</v>
      </c>
      <c r="C35" s="15" t="s">
        <v>10</v>
      </c>
      <c r="D35" s="15" t="s">
        <v>10</v>
      </c>
      <c r="E35" s="15"/>
      <c r="F35" s="15" t="s">
        <v>10</v>
      </c>
      <c r="G35" s="11" t="s">
        <v>25</v>
      </c>
    </row>
    <row r="36" spans="1:7" ht="18" customHeight="1" x14ac:dyDescent="0.2">
      <c r="A36" s="11" t="s">
        <v>59</v>
      </c>
      <c r="B36" s="15" t="s">
        <v>10</v>
      </c>
      <c r="C36" s="15" t="s">
        <v>10</v>
      </c>
      <c r="D36" s="15" t="s">
        <v>10</v>
      </c>
      <c r="E36" s="15"/>
      <c r="F36" s="15" t="s">
        <v>10</v>
      </c>
      <c r="G36" s="11" t="s">
        <v>60</v>
      </c>
    </row>
    <row r="37" spans="1:7" ht="18" customHeight="1" x14ac:dyDescent="0.2">
      <c r="A37" s="11" t="s">
        <v>61</v>
      </c>
      <c r="B37" s="15" t="s">
        <v>10</v>
      </c>
      <c r="C37" s="15" t="s">
        <v>10</v>
      </c>
      <c r="D37" s="15" t="s">
        <v>10</v>
      </c>
      <c r="E37" s="15"/>
      <c r="F37" s="15" t="s">
        <v>10</v>
      </c>
      <c r="G37" s="11" t="s">
        <v>62</v>
      </c>
    </row>
    <row r="38" spans="1:7" ht="18" customHeight="1" x14ac:dyDescent="0.2">
      <c r="A38" s="11" t="s">
        <v>63</v>
      </c>
      <c r="B38" s="15" t="s">
        <v>10</v>
      </c>
      <c r="C38" s="15" t="s">
        <v>10</v>
      </c>
      <c r="D38" s="15" t="s">
        <v>10</v>
      </c>
      <c r="E38" s="15"/>
      <c r="F38" s="15" t="s">
        <v>10</v>
      </c>
      <c r="G38" s="11" t="s">
        <v>52</v>
      </c>
    </row>
    <row r="39" spans="1:7" ht="18" customHeight="1" x14ac:dyDescent="0.2">
      <c r="A39" s="11" t="s">
        <v>64</v>
      </c>
      <c r="B39" s="15" t="s">
        <v>10</v>
      </c>
      <c r="C39" s="15" t="s">
        <v>10</v>
      </c>
      <c r="D39" s="15" t="s">
        <v>10</v>
      </c>
      <c r="E39" s="15"/>
      <c r="F39" s="15" t="s">
        <v>10</v>
      </c>
      <c r="G39" s="11" t="s">
        <v>23</v>
      </c>
    </row>
    <row r="40" spans="1:7" ht="18" customHeight="1" x14ac:dyDescent="0.2">
      <c r="A40" s="11" t="s">
        <v>65</v>
      </c>
      <c r="B40" s="15" t="s">
        <v>10</v>
      </c>
      <c r="C40" s="15" t="s">
        <v>10</v>
      </c>
      <c r="D40" s="13" t="s">
        <v>14</v>
      </c>
      <c r="E40" s="13" t="s">
        <v>66</v>
      </c>
      <c r="F40" s="13" t="s">
        <v>40</v>
      </c>
      <c r="G40" s="11" t="s">
        <v>25</v>
      </c>
    </row>
    <row r="41" spans="1:7" ht="18" customHeight="1" x14ac:dyDescent="0.2">
      <c r="A41" s="11" t="s">
        <v>67</v>
      </c>
      <c r="B41" s="15" t="s">
        <v>10</v>
      </c>
      <c r="C41" s="15" t="s">
        <v>10</v>
      </c>
      <c r="D41" s="15" t="s">
        <v>10</v>
      </c>
      <c r="E41" s="15"/>
      <c r="F41" s="15" t="s">
        <v>10</v>
      </c>
      <c r="G41" s="11" t="s">
        <v>68</v>
      </c>
    </row>
    <row r="42" spans="1:7" ht="26.1" customHeight="1" x14ac:dyDescent="0.2">
      <c r="A42" s="11" t="s">
        <v>69</v>
      </c>
      <c r="B42" s="15" t="s">
        <v>10</v>
      </c>
      <c r="C42" s="15" t="s">
        <v>10</v>
      </c>
      <c r="D42" s="13" t="s">
        <v>70</v>
      </c>
      <c r="E42" s="13" t="s">
        <v>71</v>
      </c>
      <c r="F42" s="13" t="s">
        <v>16</v>
      </c>
      <c r="G42" s="11" t="s">
        <v>25</v>
      </c>
    </row>
    <row r="43" spans="1:7" ht="18" customHeight="1" x14ac:dyDescent="0.2">
      <c r="A43" s="11" t="s">
        <v>179</v>
      </c>
      <c r="B43" s="15" t="s">
        <v>10</v>
      </c>
      <c r="C43" s="15" t="s">
        <v>10</v>
      </c>
      <c r="D43" s="13" t="s">
        <v>14</v>
      </c>
      <c r="E43" s="13" t="s">
        <v>72</v>
      </c>
      <c r="F43" s="13" t="s">
        <v>16</v>
      </c>
      <c r="G43" s="20"/>
    </row>
    <row r="44" spans="1:7" ht="18" customHeight="1" x14ac:dyDescent="0.2">
      <c r="A44" s="11" t="s">
        <v>73</v>
      </c>
      <c r="B44" s="15" t="s">
        <v>10</v>
      </c>
      <c r="C44" s="15" t="s">
        <v>10</v>
      </c>
      <c r="D44" s="15" t="s">
        <v>10</v>
      </c>
      <c r="E44" s="15"/>
      <c r="F44" s="15" t="s">
        <v>10</v>
      </c>
      <c r="G44" s="11" t="s">
        <v>74</v>
      </c>
    </row>
    <row r="45" spans="1:7" ht="18" customHeight="1" x14ac:dyDescent="0.2">
      <c r="A45" s="11" t="s">
        <v>75</v>
      </c>
      <c r="B45" s="12">
        <v>41063</v>
      </c>
      <c r="C45" s="14" t="s">
        <v>10</v>
      </c>
      <c r="D45" s="14" t="s">
        <v>10</v>
      </c>
      <c r="E45" s="14"/>
      <c r="F45" s="14" t="s">
        <v>10</v>
      </c>
      <c r="G45" s="11" t="s">
        <v>76</v>
      </c>
    </row>
    <row r="46" spans="1:7" ht="18" customHeight="1" x14ac:dyDescent="0.2">
      <c r="A46" s="11" t="s">
        <v>77</v>
      </c>
      <c r="B46" s="12">
        <v>41063</v>
      </c>
      <c r="C46" s="14" t="s">
        <v>10</v>
      </c>
      <c r="D46" s="14" t="s">
        <v>10</v>
      </c>
      <c r="E46" s="14"/>
      <c r="F46" s="14" t="s">
        <v>10</v>
      </c>
      <c r="G46" s="11"/>
    </row>
    <row r="47" spans="1:7" ht="18" customHeight="1" x14ac:dyDescent="0.2">
      <c r="A47" s="11" t="s">
        <v>78</v>
      </c>
      <c r="B47" s="15" t="s">
        <v>10</v>
      </c>
      <c r="C47" s="15" t="s">
        <v>10</v>
      </c>
      <c r="D47" s="15" t="s">
        <v>10</v>
      </c>
      <c r="E47" s="15"/>
      <c r="F47" s="15" t="s">
        <v>10</v>
      </c>
      <c r="G47" s="11" t="s">
        <v>79</v>
      </c>
    </row>
    <row r="48" spans="1:7" ht="18" customHeight="1" x14ac:dyDescent="0.2">
      <c r="A48" s="11" t="s">
        <v>80</v>
      </c>
      <c r="B48" s="15" t="s">
        <v>10</v>
      </c>
      <c r="C48" s="15" t="s">
        <v>10</v>
      </c>
      <c r="D48" s="15" t="s">
        <v>10</v>
      </c>
      <c r="E48" s="15"/>
      <c r="F48" s="15" t="s">
        <v>10</v>
      </c>
      <c r="G48" s="11" t="s">
        <v>81</v>
      </c>
    </row>
    <row r="49" spans="1:7" ht="18" customHeight="1" x14ac:dyDescent="0.2">
      <c r="A49" s="11" t="s">
        <v>82</v>
      </c>
      <c r="B49" s="15" t="s">
        <v>10</v>
      </c>
      <c r="C49" s="15" t="s">
        <v>10</v>
      </c>
      <c r="D49" s="15" t="s">
        <v>10</v>
      </c>
      <c r="E49" s="15"/>
      <c r="F49" s="15" t="s">
        <v>10</v>
      </c>
      <c r="G49" s="11" t="s">
        <v>83</v>
      </c>
    </row>
    <row r="50" spans="1:7" ht="14.25" x14ac:dyDescent="0.2">
      <c r="A50" s="16"/>
      <c r="B50" s="17"/>
      <c r="C50" s="16"/>
      <c r="D50" s="16"/>
      <c r="E50" s="16"/>
      <c r="F50" s="18"/>
      <c r="G50" s="16"/>
    </row>
    <row r="51" spans="1:7" ht="14.25" x14ac:dyDescent="0.2">
      <c r="A51" s="19" t="s">
        <v>84</v>
      </c>
      <c r="B51" s="17"/>
      <c r="C51" s="16"/>
      <c r="D51" s="16"/>
      <c r="E51" s="16"/>
      <c r="F51" s="18"/>
      <c r="G51" s="16"/>
    </row>
    <row r="52" spans="1:7" ht="14.25" x14ac:dyDescent="0.2">
      <c r="A52" s="3" t="s">
        <v>85</v>
      </c>
      <c r="B52" s="17"/>
      <c r="C52" s="16"/>
      <c r="D52" s="16"/>
      <c r="E52" s="16"/>
      <c r="F52" s="18"/>
      <c r="G52" s="16"/>
    </row>
    <row r="53" spans="1:7" ht="14.25" x14ac:dyDescent="0.2">
      <c r="A53" s="3" t="s">
        <v>86</v>
      </c>
      <c r="B53" s="17"/>
      <c r="C53" s="16"/>
      <c r="D53" s="16"/>
      <c r="E53" s="16"/>
      <c r="F53" s="18"/>
      <c r="G53" s="16"/>
    </row>
    <row r="54" spans="1:7" ht="14.25" x14ac:dyDescent="0.2">
      <c r="A54" s="3" t="s">
        <v>87</v>
      </c>
      <c r="B54" s="17"/>
      <c r="C54" s="16"/>
      <c r="D54" s="16"/>
      <c r="E54" s="16"/>
      <c r="F54" s="18"/>
      <c r="G54" s="16"/>
    </row>
  </sheetData>
  <mergeCells count="6">
    <mergeCell ref="G2:G4"/>
    <mergeCell ref="A2:A4"/>
    <mergeCell ref="B2:F2"/>
    <mergeCell ref="B3:B4"/>
    <mergeCell ref="C3:C4"/>
    <mergeCell ref="D3:F3"/>
  </mergeCells>
  <phoneticPr fontId="0" type="noConversion"/>
  <printOptions horizontalCentered="1"/>
  <pageMargins left="0.35433070866141703" right="0.31496062992126" top="1.14173228346457" bottom="0.98425196850393704" header="0.511811023622047" footer="0.511811023622047"/>
  <pageSetup paperSize="3" orientation="portrait" horizontalDpi="300" r:id="rId1"/>
  <headerFooter scaleWithDoc="0" alignWithMargins="0">
    <oddHeader>&amp;R&amp;"Gill Sans MT,Regular"&amp;9&amp;K06+000GROUNDWATER SAMPLING METHODS AND RESULTS REPORT - MT NANSEN, YT
EBA FILE: W23101586 | NOVEMBER 5, 2012 | ISSUED FOR USE</oddHeader>
    <oddFooter>&amp;L&amp;6&amp;K06+000&amp;F
&amp;G&amp;C&amp;"Gill Sans MT,Regular"&amp;9&amp;K04+000&amp;P&amp;R&amp;G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4"/>
  <sheetViews>
    <sheetView view="pageLayout" topLeftCell="A4" zoomScaleNormal="100" workbookViewId="0">
      <selection activeCell="D9" sqref="D9"/>
    </sheetView>
  </sheetViews>
  <sheetFormatPr defaultRowHeight="12.75" x14ac:dyDescent="0.2"/>
  <cols>
    <col min="1" max="1" width="10.140625" style="2" bestFit="1" customWidth="1"/>
    <col min="2" max="2" width="14.140625" style="2" bestFit="1" customWidth="1"/>
    <col min="3" max="3" width="11" style="2" bestFit="1" customWidth="1"/>
    <col min="4" max="4" width="14.7109375" style="2" bestFit="1" customWidth="1"/>
    <col min="5" max="5" width="14.42578125" style="2" bestFit="1" customWidth="1"/>
    <col min="6" max="6" width="18.5703125" style="2" customWidth="1"/>
    <col min="7" max="7" width="28.85546875" style="2" customWidth="1"/>
    <col min="8" max="16384" width="9.140625" style="2"/>
  </cols>
  <sheetData>
    <row r="1" spans="1:7" ht="15.75" x14ac:dyDescent="0.25">
      <c r="A1" s="1" t="s">
        <v>369</v>
      </c>
      <c r="B1"/>
      <c r="C1"/>
      <c r="D1"/>
      <c r="E1"/>
      <c r="F1"/>
      <c r="G1"/>
    </row>
    <row r="2" spans="1:7" ht="25.5" x14ac:dyDescent="0.2">
      <c r="A2" s="147" t="s">
        <v>0</v>
      </c>
      <c r="B2" s="22" t="s">
        <v>192</v>
      </c>
      <c r="C2" s="22" t="s">
        <v>193</v>
      </c>
      <c r="D2" s="22" t="s">
        <v>194</v>
      </c>
      <c r="E2" s="22" t="s">
        <v>195</v>
      </c>
      <c r="F2" s="21" t="s">
        <v>196</v>
      </c>
      <c r="G2" s="143" t="s">
        <v>2</v>
      </c>
    </row>
    <row r="3" spans="1:7" x14ac:dyDescent="0.2">
      <c r="A3" s="148"/>
      <c r="B3" s="22" t="s">
        <v>197</v>
      </c>
      <c r="C3" s="22" t="s">
        <v>198</v>
      </c>
      <c r="D3" s="22" t="s">
        <v>198</v>
      </c>
      <c r="E3" s="22" t="s">
        <v>199</v>
      </c>
      <c r="F3" s="22" t="s">
        <v>199</v>
      </c>
      <c r="G3" s="144"/>
    </row>
    <row r="4" spans="1:7" x14ac:dyDescent="0.2">
      <c r="A4" s="23" t="s">
        <v>8</v>
      </c>
      <c r="B4" s="30">
        <f>CONVERT(1, "in","mm")</f>
        <v>25.4</v>
      </c>
      <c r="C4" s="27">
        <v>10.130000000000001</v>
      </c>
      <c r="D4" s="27">
        <v>5.54</v>
      </c>
      <c r="E4" s="27">
        <v>0.3</v>
      </c>
      <c r="F4" s="27">
        <f>C4-D4</f>
        <v>4.5900000000000007</v>
      </c>
      <c r="G4" s="11"/>
    </row>
    <row r="5" spans="1:7" x14ac:dyDescent="0.2">
      <c r="A5" s="23" t="s">
        <v>12</v>
      </c>
      <c r="B5" s="30">
        <f>CONVERT(1, "in","mm")</f>
        <v>25.4</v>
      </c>
      <c r="C5" s="27">
        <v>4.99</v>
      </c>
      <c r="D5" s="27">
        <v>2.0099999999999998</v>
      </c>
      <c r="E5" s="27">
        <v>1.52</v>
      </c>
      <c r="F5" s="27">
        <f>C5-D5</f>
        <v>2.9800000000000004</v>
      </c>
      <c r="G5" s="11"/>
    </row>
    <row r="6" spans="1:7" x14ac:dyDescent="0.2">
      <c r="A6" s="23" t="s">
        <v>13</v>
      </c>
      <c r="B6" s="30">
        <f>CONVERT(2, "in","mm")</f>
        <v>50.8</v>
      </c>
      <c r="C6" s="27">
        <v>9.44</v>
      </c>
      <c r="D6" s="27">
        <v>5.21</v>
      </c>
      <c r="E6" s="27">
        <v>1.06</v>
      </c>
      <c r="F6" s="27">
        <f>C6-D6</f>
        <v>4.2299999999999995</v>
      </c>
      <c r="G6" s="11"/>
    </row>
    <row r="7" spans="1:7" x14ac:dyDescent="0.2">
      <c r="A7" s="23" t="s">
        <v>17</v>
      </c>
      <c r="B7" s="30">
        <f>CONVERT(2, "in","mm")</f>
        <v>50.8</v>
      </c>
      <c r="C7" s="27">
        <v>7.16</v>
      </c>
      <c r="D7" s="27">
        <v>2.9050000000000002</v>
      </c>
      <c r="E7" s="27">
        <v>1.52</v>
      </c>
      <c r="F7" s="27">
        <f>C7-D7</f>
        <v>4.2549999999999999</v>
      </c>
      <c r="G7" s="11"/>
    </row>
    <row r="8" spans="1:7" ht="25.5" x14ac:dyDescent="0.2">
      <c r="A8" s="23" t="s">
        <v>18</v>
      </c>
      <c r="B8" s="31" t="s">
        <v>10</v>
      </c>
      <c r="C8" s="27">
        <v>6.69</v>
      </c>
      <c r="D8" s="27" t="s">
        <v>10</v>
      </c>
      <c r="E8" s="27">
        <v>0.92</v>
      </c>
      <c r="F8" s="27" t="s">
        <v>10</v>
      </c>
      <c r="G8" s="11" t="s">
        <v>200</v>
      </c>
    </row>
    <row r="9" spans="1:7" ht="25.5" x14ac:dyDescent="0.2">
      <c r="A9" s="23" t="s">
        <v>20</v>
      </c>
      <c r="B9" s="31" t="s">
        <v>10</v>
      </c>
      <c r="C9" s="27">
        <v>4.74</v>
      </c>
      <c r="D9" s="27" t="s">
        <v>10</v>
      </c>
      <c r="E9" s="27">
        <f>4.74-1.7</f>
        <v>3.04</v>
      </c>
      <c r="F9" s="27" t="s">
        <v>10</v>
      </c>
      <c r="G9" s="11" t="s">
        <v>200</v>
      </c>
    </row>
    <row r="10" spans="1:7" ht="25.5" x14ac:dyDescent="0.2">
      <c r="A10" s="23" t="s">
        <v>21</v>
      </c>
      <c r="B10" s="31" t="s">
        <v>10</v>
      </c>
      <c r="C10" s="27">
        <v>2.36</v>
      </c>
      <c r="D10" s="27" t="s">
        <v>10</v>
      </c>
      <c r="E10" s="27">
        <f>2.36-2.11</f>
        <v>0.25</v>
      </c>
      <c r="F10" s="27" t="s">
        <v>10</v>
      </c>
      <c r="G10" s="11" t="s">
        <v>200</v>
      </c>
    </row>
    <row r="11" spans="1:7" x14ac:dyDescent="0.2">
      <c r="A11" s="23" t="s">
        <v>22</v>
      </c>
      <c r="B11" s="30">
        <f>CONVERT(2, "in","mm")</f>
        <v>50.8</v>
      </c>
      <c r="C11" s="27">
        <v>3.66</v>
      </c>
      <c r="D11" s="27" t="s">
        <v>201</v>
      </c>
      <c r="E11" s="27">
        <f>2.83-1.31</f>
        <v>1.52</v>
      </c>
      <c r="F11" s="27"/>
      <c r="G11" s="11" t="s">
        <v>25</v>
      </c>
    </row>
    <row r="12" spans="1:7" x14ac:dyDescent="0.2">
      <c r="A12" s="23" t="s">
        <v>24</v>
      </c>
      <c r="B12" s="30">
        <f t="shared" ref="B12:B23" si="0">CONVERT(2, "in","mm")</f>
        <v>50.8</v>
      </c>
      <c r="C12" s="27">
        <v>4.09</v>
      </c>
      <c r="D12" s="27" t="s">
        <v>202</v>
      </c>
      <c r="E12" s="27">
        <f>4.22-2.69</f>
        <v>1.5299999999999998</v>
      </c>
      <c r="F12" s="27">
        <v>0</v>
      </c>
      <c r="G12" s="11"/>
    </row>
    <row r="13" spans="1:7" x14ac:dyDescent="0.2">
      <c r="A13" s="23" t="s">
        <v>26</v>
      </c>
      <c r="B13" s="30">
        <f t="shared" si="0"/>
        <v>50.8</v>
      </c>
      <c r="C13" s="27">
        <v>35.97</v>
      </c>
      <c r="D13" s="27" t="s">
        <v>130</v>
      </c>
      <c r="E13" s="27">
        <f>35.97-29.87</f>
        <v>6.0999999999999979</v>
      </c>
      <c r="F13" s="27"/>
      <c r="G13" s="11" t="s">
        <v>25</v>
      </c>
    </row>
    <row r="14" spans="1:7" x14ac:dyDescent="0.2">
      <c r="A14" s="23" t="s">
        <v>27</v>
      </c>
      <c r="B14" s="30">
        <f t="shared" si="0"/>
        <v>50.8</v>
      </c>
      <c r="C14" s="27">
        <v>10.67</v>
      </c>
      <c r="D14" s="27" t="s">
        <v>132</v>
      </c>
      <c r="E14" s="27">
        <f>8.53-5.49</f>
        <v>3.0399999999999991</v>
      </c>
      <c r="F14" s="27"/>
      <c r="G14" s="11" t="s">
        <v>25</v>
      </c>
    </row>
    <row r="15" spans="1:7" x14ac:dyDescent="0.2">
      <c r="A15" s="23" t="s">
        <v>28</v>
      </c>
      <c r="B15" s="30">
        <f t="shared" si="0"/>
        <v>50.8</v>
      </c>
      <c r="C15" s="27">
        <v>37.03</v>
      </c>
      <c r="D15" s="27" t="s">
        <v>133</v>
      </c>
      <c r="E15" s="27">
        <f>37.03-33.99</f>
        <v>3.0399999999999991</v>
      </c>
      <c r="F15" s="27"/>
      <c r="G15" s="11" t="s">
        <v>25</v>
      </c>
    </row>
    <row r="16" spans="1:7" x14ac:dyDescent="0.2">
      <c r="A16" s="23" t="s">
        <v>30</v>
      </c>
      <c r="B16" s="30">
        <f t="shared" si="0"/>
        <v>50.8</v>
      </c>
      <c r="C16" s="27">
        <v>1.78</v>
      </c>
      <c r="D16" s="27" t="s">
        <v>136</v>
      </c>
      <c r="E16" s="27">
        <f>1.78-0.26</f>
        <v>1.52</v>
      </c>
      <c r="F16" s="27"/>
      <c r="G16" s="11" t="s">
        <v>25</v>
      </c>
    </row>
    <row r="17" spans="1:7" x14ac:dyDescent="0.2">
      <c r="A17" s="23" t="s">
        <v>32</v>
      </c>
      <c r="B17" s="30">
        <f t="shared" si="0"/>
        <v>50.8</v>
      </c>
      <c r="C17" s="27">
        <v>4.8099999999999996</v>
      </c>
      <c r="D17" s="27">
        <v>2.5649999999999999</v>
      </c>
      <c r="E17" s="27">
        <f>4.88-3.35</f>
        <v>1.5299999999999998</v>
      </c>
      <c r="F17" s="27">
        <f>C17-D17</f>
        <v>2.2449999999999997</v>
      </c>
      <c r="G17" s="11"/>
    </row>
    <row r="18" spans="1:7" x14ac:dyDescent="0.2">
      <c r="A18" s="23" t="s">
        <v>34</v>
      </c>
      <c r="B18" s="30">
        <f t="shared" si="0"/>
        <v>50.8</v>
      </c>
      <c r="C18" s="27">
        <v>6.875</v>
      </c>
      <c r="D18" s="27">
        <v>2.4749999999999996</v>
      </c>
      <c r="E18" s="27">
        <f>6.89-6.1</f>
        <v>0.79</v>
      </c>
      <c r="F18" s="27">
        <f>C18-D18</f>
        <v>4.4000000000000004</v>
      </c>
      <c r="G18" s="11"/>
    </row>
    <row r="19" spans="1:7" x14ac:dyDescent="0.2">
      <c r="A19" s="23" t="s">
        <v>35</v>
      </c>
      <c r="B19" s="30">
        <f t="shared" si="0"/>
        <v>50.8</v>
      </c>
      <c r="C19" s="27">
        <v>5.1100000000000003</v>
      </c>
      <c r="D19" s="27" t="s">
        <v>138</v>
      </c>
      <c r="E19" s="27">
        <f>5.11-3.59</f>
        <v>1.5200000000000005</v>
      </c>
      <c r="F19" s="27"/>
      <c r="G19" s="11" t="s">
        <v>25</v>
      </c>
    </row>
    <row r="20" spans="1:7" x14ac:dyDescent="0.2">
      <c r="A20" s="23" t="s">
        <v>37</v>
      </c>
      <c r="B20" s="30">
        <f t="shared" si="0"/>
        <v>50.8</v>
      </c>
      <c r="C20" s="27">
        <v>2.75</v>
      </c>
      <c r="D20" s="27" t="s">
        <v>140</v>
      </c>
      <c r="E20" s="27">
        <f>2.78-1.26</f>
        <v>1.5199999999999998</v>
      </c>
      <c r="F20" s="27">
        <v>0</v>
      </c>
      <c r="G20" s="11" t="s">
        <v>203</v>
      </c>
    </row>
    <row r="21" spans="1:7" x14ac:dyDescent="0.2">
      <c r="A21" s="23" t="s">
        <v>39</v>
      </c>
      <c r="B21" s="30">
        <f t="shared" si="0"/>
        <v>50.8</v>
      </c>
      <c r="C21" s="27">
        <v>4.3899999999999997</v>
      </c>
      <c r="D21" s="27" t="s">
        <v>142</v>
      </c>
      <c r="E21" s="27">
        <f>2.85-1.32</f>
        <v>1.53</v>
      </c>
      <c r="F21" s="27"/>
      <c r="G21" s="11" t="s">
        <v>25</v>
      </c>
    </row>
    <row r="22" spans="1:7" x14ac:dyDescent="0.2">
      <c r="A22" s="23" t="s">
        <v>41</v>
      </c>
      <c r="B22" s="30">
        <f t="shared" si="0"/>
        <v>50.8</v>
      </c>
      <c r="C22" s="27">
        <v>4.42</v>
      </c>
      <c r="D22" s="27">
        <v>3.4000000000000004</v>
      </c>
      <c r="E22" s="27">
        <f>4.39-2.86</f>
        <v>1.5299999999999998</v>
      </c>
      <c r="F22" s="27">
        <f t="shared" ref="F22:F29" si="1">C22-D22</f>
        <v>1.0199999999999996</v>
      </c>
      <c r="G22" s="11"/>
    </row>
    <row r="23" spans="1:7" x14ac:dyDescent="0.2">
      <c r="A23" s="23" t="s">
        <v>42</v>
      </c>
      <c r="B23" s="30">
        <f t="shared" si="0"/>
        <v>50.8</v>
      </c>
      <c r="C23" s="27">
        <v>14.89</v>
      </c>
      <c r="D23" s="27">
        <v>11.25</v>
      </c>
      <c r="E23" s="27">
        <f>15-13.48</f>
        <v>1.5199999999999996</v>
      </c>
      <c r="F23" s="27">
        <f t="shared" si="1"/>
        <v>3.6400000000000006</v>
      </c>
      <c r="G23" s="11"/>
    </row>
    <row r="24" spans="1:7" x14ac:dyDescent="0.2">
      <c r="A24" s="23" t="s">
        <v>43</v>
      </c>
      <c r="B24" s="30">
        <f>CONVERT(2, "in","mm")</f>
        <v>50.8</v>
      </c>
      <c r="C24" s="27">
        <v>10.530000000000001</v>
      </c>
      <c r="D24" s="27">
        <v>8.7000000000000011</v>
      </c>
      <c r="E24" s="27">
        <f>9.11-6.06</f>
        <v>3.05</v>
      </c>
      <c r="F24" s="27">
        <f t="shared" si="1"/>
        <v>1.83</v>
      </c>
      <c r="G24" s="11"/>
    </row>
    <row r="25" spans="1:7" ht="25.5" x14ac:dyDescent="0.2">
      <c r="A25" s="23" t="s">
        <v>44</v>
      </c>
      <c r="B25" s="30">
        <f>CONVERT(0.4, "in","mm")</f>
        <v>10.16</v>
      </c>
      <c r="C25" s="27">
        <v>0.12000000000000011</v>
      </c>
      <c r="D25" s="27">
        <v>-0.53</v>
      </c>
      <c r="E25" s="27">
        <f>0.48-0.18</f>
        <v>0.3</v>
      </c>
      <c r="F25" s="27">
        <f t="shared" si="1"/>
        <v>0.65000000000000013</v>
      </c>
      <c r="G25" s="11" t="s">
        <v>204</v>
      </c>
    </row>
    <row r="26" spans="1:7" ht="25.5" x14ac:dyDescent="0.2">
      <c r="A26" s="23" t="s">
        <v>46</v>
      </c>
      <c r="B26" s="30">
        <f t="shared" ref="B26:B27" si="2">CONVERT(0.4, "in","mm")</f>
        <v>10.16</v>
      </c>
      <c r="C26" s="27">
        <v>0.19999999999999996</v>
      </c>
      <c r="D26" s="27">
        <v>-0.41000000000000014</v>
      </c>
      <c r="E26" s="27">
        <v>0.3</v>
      </c>
      <c r="F26" s="27">
        <f t="shared" si="1"/>
        <v>0.6100000000000001</v>
      </c>
      <c r="G26" s="11" t="s">
        <v>204</v>
      </c>
    </row>
    <row r="27" spans="1:7" ht="25.5" x14ac:dyDescent="0.2">
      <c r="A27" s="23" t="s">
        <v>47</v>
      </c>
      <c r="B27" s="30">
        <f t="shared" si="2"/>
        <v>10.16</v>
      </c>
      <c r="C27" s="27">
        <v>0.87000000000000011</v>
      </c>
      <c r="D27" s="27">
        <v>-9.9999999999999978E-2</v>
      </c>
      <c r="E27" s="27">
        <v>0.3</v>
      </c>
      <c r="F27" s="27">
        <f t="shared" si="1"/>
        <v>0.97000000000000008</v>
      </c>
      <c r="G27" s="11" t="s">
        <v>204</v>
      </c>
    </row>
    <row r="28" spans="1:7" x14ac:dyDescent="0.2">
      <c r="A28" s="23" t="s">
        <v>49</v>
      </c>
      <c r="B28" s="30">
        <f>CONVERT(1, "in","mm")</f>
        <v>25.4</v>
      </c>
      <c r="C28" s="27">
        <v>1.82</v>
      </c>
      <c r="D28" s="27">
        <v>0.9800000000000002</v>
      </c>
      <c r="E28" s="27">
        <f>1.75-0.84</f>
        <v>0.91</v>
      </c>
      <c r="F28" s="27">
        <f t="shared" si="1"/>
        <v>0.83999999999999986</v>
      </c>
      <c r="G28" s="11"/>
    </row>
    <row r="29" spans="1:7" x14ac:dyDescent="0.2">
      <c r="A29" s="23" t="s">
        <v>50</v>
      </c>
      <c r="B29" s="30">
        <f>CONVERT(1, "in","mm")</f>
        <v>25.4</v>
      </c>
      <c r="C29" s="27">
        <v>0.75</v>
      </c>
      <c r="D29" s="27">
        <v>0.25</v>
      </c>
      <c r="E29" s="27">
        <v>0.3</v>
      </c>
      <c r="F29" s="27">
        <f t="shared" si="1"/>
        <v>0.5</v>
      </c>
      <c r="G29" s="11"/>
    </row>
    <row r="30" spans="1:7" x14ac:dyDescent="0.2">
      <c r="A30" s="23" t="s">
        <v>51</v>
      </c>
      <c r="B30" s="30">
        <f>CONVERT(0.4, "in","mm")</f>
        <v>10.16</v>
      </c>
      <c r="C30" s="27">
        <v>0.93</v>
      </c>
      <c r="D30" s="27" t="s">
        <v>10</v>
      </c>
      <c r="E30" s="27">
        <v>0.3</v>
      </c>
      <c r="F30" s="27" t="s">
        <v>10</v>
      </c>
      <c r="G30" s="11" t="s">
        <v>155</v>
      </c>
    </row>
    <row r="31" spans="1:7" x14ac:dyDescent="0.2">
      <c r="A31" s="23" t="s">
        <v>53</v>
      </c>
      <c r="B31" s="30">
        <f t="shared" ref="B31:B32" si="3">CONVERT(0.4, "in","mm")</f>
        <v>10.16</v>
      </c>
      <c r="C31" s="27">
        <v>1.1599999999999999</v>
      </c>
      <c r="D31" s="27" t="s">
        <v>10</v>
      </c>
      <c r="E31" s="27">
        <f>1.16-0.86</f>
        <v>0.29999999999999993</v>
      </c>
      <c r="F31" s="27" t="s">
        <v>10</v>
      </c>
      <c r="G31" s="11" t="s">
        <v>155</v>
      </c>
    </row>
    <row r="32" spans="1:7" ht="25.5" x14ac:dyDescent="0.2">
      <c r="A32" s="23" t="s">
        <v>55</v>
      </c>
      <c r="B32" s="30">
        <f t="shared" si="3"/>
        <v>10.16</v>
      </c>
      <c r="C32" s="27">
        <v>0.55000000000000004</v>
      </c>
      <c r="D32" s="27">
        <v>-0.16500000000000004</v>
      </c>
      <c r="E32" s="27">
        <v>0.3</v>
      </c>
      <c r="F32" s="27">
        <f>C32-D32</f>
        <v>0.71500000000000008</v>
      </c>
      <c r="G32" s="11" t="s">
        <v>204</v>
      </c>
    </row>
    <row r="33" spans="1:7" x14ac:dyDescent="0.2">
      <c r="A33" s="23" t="s">
        <v>56</v>
      </c>
      <c r="B33" s="30">
        <f>CONVERT(1, "in","mm")</f>
        <v>25.4</v>
      </c>
      <c r="C33" s="27">
        <v>4.26</v>
      </c>
      <c r="D33" s="27" t="s">
        <v>161</v>
      </c>
      <c r="E33" s="27">
        <v>0.2</v>
      </c>
      <c r="F33" s="27"/>
      <c r="G33" s="11" t="s">
        <v>25</v>
      </c>
    </row>
    <row r="34" spans="1:7" x14ac:dyDescent="0.2">
      <c r="A34" s="23" t="s">
        <v>58</v>
      </c>
      <c r="B34" s="30">
        <f>CONVERT(1, "in","mm")</f>
        <v>25.4</v>
      </c>
      <c r="C34" s="27">
        <v>3.86</v>
      </c>
      <c r="D34" s="27" t="s">
        <v>162</v>
      </c>
      <c r="E34" s="27">
        <v>0.3</v>
      </c>
      <c r="F34" s="27"/>
      <c r="G34" s="11" t="s">
        <v>25</v>
      </c>
    </row>
    <row r="35" spans="1:7" x14ac:dyDescent="0.2">
      <c r="A35" s="23" t="s">
        <v>59</v>
      </c>
      <c r="B35" s="30">
        <f>CONVERT(1, "in","mm")</f>
        <v>25.4</v>
      </c>
      <c r="C35" s="27">
        <v>3.78</v>
      </c>
      <c r="D35" s="27" t="s">
        <v>163</v>
      </c>
      <c r="E35" s="27">
        <v>0.3</v>
      </c>
      <c r="F35" s="27"/>
      <c r="G35" s="11" t="s">
        <v>25</v>
      </c>
    </row>
    <row r="36" spans="1:7" x14ac:dyDescent="0.2">
      <c r="A36" s="23" t="s">
        <v>61</v>
      </c>
      <c r="B36" s="30">
        <f>CONVERT(1, "in","mm")</f>
        <v>25.4</v>
      </c>
      <c r="C36" s="27">
        <v>3.07</v>
      </c>
      <c r="D36" s="27" t="s">
        <v>164</v>
      </c>
      <c r="E36" s="27">
        <v>0.3</v>
      </c>
      <c r="F36" s="27"/>
      <c r="G36" s="11" t="s">
        <v>25</v>
      </c>
    </row>
    <row r="37" spans="1:7" x14ac:dyDescent="0.2">
      <c r="A37" s="23" t="s">
        <v>63</v>
      </c>
      <c r="B37" s="30">
        <f t="shared" ref="B37:B38" si="4">CONVERT(0.4, "in","mm")</f>
        <v>10.16</v>
      </c>
      <c r="C37" s="27">
        <v>0.67</v>
      </c>
      <c r="D37" s="27" t="s">
        <v>10</v>
      </c>
      <c r="E37" s="27">
        <v>0.3</v>
      </c>
      <c r="F37" s="27" t="s">
        <v>10</v>
      </c>
      <c r="G37" s="11" t="s">
        <v>155</v>
      </c>
    </row>
    <row r="38" spans="1:7" x14ac:dyDescent="0.2">
      <c r="A38" s="23" t="s">
        <v>64</v>
      </c>
      <c r="B38" s="30">
        <f t="shared" si="4"/>
        <v>10.16</v>
      </c>
      <c r="C38" s="27">
        <v>0.93</v>
      </c>
      <c r="D38" s="27" t="s">
        <v>167</v>
      </c>
      <c r="E38" s="27">
        <v>0.3</v>
      </c>
      <c r="F38" s="27"/>
      <c r="G38" s="11" t="s">
        <v>25</v>
      </c>
    </row>
    <row r="39" spans="1:7" x14ac:dyDescent="0.2">
      <c r="A39" s="23" t="s">
        <v>65</v>
      </c>
      <c r="B39" s="30">
        <f>CONVERT(2, "in","mm")</f>
        <v>50.8</v>
      </c>
      <c r="C39" s="27">
        <v>18.29</v>
      </c>
      <c r="D39" s="27" t="s">
        <v>169</v>
      </c>
      <c r="E39" s="27">
        <f>18.29-10.67</f>
        <v>7.6199999999999992</v>
      </c>
      <c r="F39" s="27"/>
      <c r="G39" s="11" t="s">
        <v>25</v>
      </c>
    </row>
    <row r="40" spans="1:7" x14ac:dyDescent="0.2">
      <c r="A40" s="23" t="s">
        <v>67</v>
      </c>
      <c r="B40" s="30">
        <f t="shared" ref="B40:B44" si="5">CONVERT(2, "in","mm")</f>
        <v>50.8</v>
      </c>
      <c r="C40" s="27">
        <v>5.75</v>
      </c>
      <c r="D40" s="27" t="s">
        <v>172</v>
      </c>
      <c r="E40" s="27">
        <f>5.78-3.05</f>
        <v>2.7300000000000004</v>
      </c>
      <c r="F40" s="27">
        <v>0</v>
      </c>
      <c r="G40" s="11" t="s">
        <v>203</v>
      </c>
    </row>
    <row r="41" spans="1:7" x14ac:dyDescent="0.2">
      <c r="A41" s="23" t="s">
        <v>69</v>
      </c>
      <c r="B41" s="30">
        <f t="shared" si="5"/>
        <v>50.8</v>
      </c>
      <c r="C41" s="27">
        <v>10.6</v>
      </c>
      <c r="D41" s="27" t="s">
        <v>175</v>
      </c>
      <c r="E41" s="27">
        <f>10.6-8.91</f>
        <v>1.6899999999999995</v>
      </c>
      <c r="F41" s="27"/>
      <c r="G41" s="11" t="s">
        <v>25</v>
      </c>
    </row>
    <row r="42" spans="1:7" ht="25.5" x14ac:dyDescent="0.2">
      <c r="A42" s="23" t="s">
        <v>78</v>
      </c>
      <c r="B42" s="30">
        <f t="shared" si="5"/>
        <v>50.8</v>
      </c>
      <c r="C42" s="27">
        <v>3.87</v>
      </c>
      <c r="D42" s="27">
        <v>3.6799999999999997</v>
      </c>
      <c r="E42" s="27" t="s">
        <v>10</v>
      </c>
      <c r="F42" s="27">
        <f>C42-D42</f>
        <v>0.19000000000000039</v>
      </c>
      <c r="G42" s="11" t="s">
        <v>205</v>
      </c>
    </row>
    <row r="43" spans="1:7" x14ac:dyDescent="0.2">
      <c r="A43" s="23" t="s">
        <v>80</v>
      </c>
      <c r="B43" s="30">
        <f t="shared" si="5"/>
        <v>50.8</v>
      </c>
      <c r="C43" s="27" t="s">
        <v>10</v>
      </c>
      <c r="D43" s="27" t="s">
        <v>185</v>
      </c>
      <c r="E43" s="27" t="s">
        <v>10</v>
      </c>
      <c r="F43" s="27"/>
      <c r="G43" s="11" t="s">
        <v>25</v>
      </c>
    </row>
    <row r="44" spans="1:7" x14ac:dyDescent="0.2">
      <c r="A44" s="23" t="s">
        <v>82</v>
      </c>
      <c r="B44" s="30">
        <f t="shared" si="5"/>
        <v>50.8</v>
      </c>
      <c r="C44" s="27" t="s">
        <v>10</v>
      </c>
      <c r="D44" s="27" t="s">
        <v>10</v>
      </c>
      <c r="E44" s="27" t="s">
        <v>10</v>
      </c>
      <c r="F44" s="27" t="s">
        <v>10</v>
      </c>
      <c r="G44" s="11" t="s">
        <v>206</v>
      </c>
    </row>
  </sheetData>
  <mergeCells count="2">
    <mergeCell ref="A2:A3"/>
    <mergeCell ref="G2:G3"/>
  </mergeCells>
  <printOptions horizontalCentered="1"/>
  <pageMargins left="0.35433070866141736" right="0.31496062992125984" top="1.1417322834645669" bottom="0.98425196850393704" header="0.51181102362204722" footer="0.51181102362204722"/>
  <pageSetup scale="89" orientation="portrait" horizontalDpi="300" r:id="rId1"/>
  <headerFooter scaleWithDoc="0" alignWithMargins="0">
    <oddHeader>&amp;R&amp;"Gill Sans MT,Regular"&amp;9&amp;K06+000GROUNDWATER SAMPLING METHODS AND RESULTS REPORT - MOUNT NANSEN, YUKON
EBA FILE:W23101586 | NOVEMBER 5, 2012 | ISSUED FOR USE</oddHeader>
    <oddFooter>&amp;L&amp;6&amp;K06+000&amp;F
&amp;G&amp;C&amp;"Gill Sans MT,Regular"&amp;9&amp;K04+000&amp;P&amp;R&amp;G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23"/>
  <sheetViews>
    <sheetView tabSelected="1" view="pageBreakPreview" topLeftCell="A25" zoomScale="90" zoomScaleNormal="100" zoomScaleSheetLayoutView="90" workbookViewId="0">
      <selection activeCell="AB13" sqref="AB13"/>
    </sheetView>
  </sheetViews>
  <sheetFormatPr defaultRowHeight="12.75" x14ac:dyDescent="0.2"/>
  <cols>
    <col min="1" max="1" width="27.140625" style="2" customWidth="1"/>
    <col min="2" max="2" width="9.140625" style="2"/>
    <col min="3" max="3" width="14.7109375" style="2" customWidth="1"/>
    <col min="4" max="20" width="9.140625" style="2"/>
    <col min="21" max="21" width="10.140625" style="2" customWidth="1"/>
    <col min="22" max="25" width="9.140625" style="2"/>
    <col min="26" max="26" width="14.7109375" style="2" customWidth="1"/>
    <col min="27" max="28" width="10.140625" style="2" customWidth="1"/>
    <col min="29" max="29" width="18.140625" style="2" customWidth="1"/>
    <col min="30" max="16384" width="9.140625" style="2"/>
  </cols>
  <sheetData>
    <row r="1" spans="1:29" ht="16.5" thickBot="1" x14ac:dyDescent="0.3">
      <c r="A1" s="1" t="s">
        <v>347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51" customHeight="1" x14ac:dyDescent="0.2">
      <c r="A2" s="151" t="s">
        <v>207</v>
      </c>
      <c r="B2" s="152"/>
      <c r="C2" s="153"/>
      <c r="D2" s="154" t="s">
        <v>44</v>
      </c>
      <c r="E2" s="155"/>
      <c r="F2" s="149" t="s">
        <v>46</v>
      </c>
      <c r="G2" s="149" t="s">
        <v>49</v>
      </c>
      <c r="H2" s="149" t="s">
        <v>50</v>
      </c>
      <c r="I2" s="149" t="s">
        <v>55</v>
      </c>
      <c r="J2" s="149" t="s">
        <v>8</v>
      </c>
      <c r="K2" s="149" t="s">
        <v>12</v>
      </c>
      <c r="L2" s="149" t="s">
        <v>13</v>
      </c>
      <c r="M2" s="149" t="s">
        <v>17</v>
      </c>
      <c r="N2" s="149" t="s">
        <v>32</v>
      </c>
      <c r="O2" s="154" t="s">
        <v>34</v>
      </c>
      <c r="P2" s="155"/>
      <c r="Q2" s="154" t="s">
        <v>41</v>
      </c>
      <c r="R2" s="155"/>
      <c r="S2" s="149" t="s">
        <v>42</v>
      </c>
      <c r="T2" s="149" t="s">
        <v>43</v>
      </c>
      <c r="U2" s="149" t="s">
        <v>208</v>
      </c>
      <c r="V2" s="149" t="s">
        <v>209</v>
      </c>
      <c r="W2" s="149" t="s">
        <v>210</v>
      </c>
      <c r="X2" s="149" t="s">
        <v>211</v>
      </c>
      <c r="Y2" s="156" t="s">
        <v>212</v>
      </c>
      <c r="Z2" s="171" t="s">
        <v>350</v>
      </c>
      <c r="AA2" s="159" t="s">
        <v>364</v>
      </c>
      <c r="AB2" s="159" t="s">
        <v>365</v>
      </c>
      <c r="AC2" s="161" t="s">
        <v>351</v>
      </c>
    </row>
    <row r="3" spans="1:29" ht="12.75" customHeight="1" x14ac:dyDescent="0.2">
      <c r="A3" s="174" t="s">
        <v>213</v>
      </c>
      <c r="B3" s="175"/>
      <c r="C3" s="176"/>
      <c r="D3" s="32" t="s">
        <v>44</v>
      </c>
      <c r="E3" s="33" t="s">
        <v>214</v>
      </c>
      <c r="F3" s="150"/>
      <c r="G3" s="150"/>
      <c r="H3" s="150"/>
      <c r="I3" s="150"/>
      <c r="J3" s="150"/>
      <c r="K3" s="150"/>
      <c r="L3" s="150"/>
      <c r="M3" s="150"/>
      <c r="N3" s="150"/>
      <c r="O3" s="32" t="s">
        <v>34</v>
      </c>
      <c r="P3" s="33" t="s">
        <v>215</v>
      </c>
      <c r="Q3" s="32" t="s">
        <v>41</v>
      </c>
      <c r="R3" s="33" t="s">
        <v>216</v>
      </c>
      <c r="S3" s="150"/>
      <c r="T3" s="150"/>
      <c r="U3" s="150"/>
      <c r="V3" s="150"/>
      <c r="W3" s="150"/>
      <c r="X3" s="150"/>
      <c r="Y3" s="157"/>
      <c r="Z3" s="172"/>
      <c r="AA3" s="133"/>
      <c r="AB3" s="133"/>
      <c r="AC3" s="162"/>
    </row>
    <row r="4" spans="1:29" x14ac:dyDescent="0.2">
      <c r="A4" s="174" t="s">
        <v>217</v>
      </c>
      <c r="B4" s="175"/>
      <c r="C4" s="176"/>
      <c r="D4" s="177">
        <v>41065</v>
      </c>
      <c r="E4" s="178"/>
      <c r="F4" s="34">
        <v>41066</v>
      </c>
      <c r="G4" s="34">
        <v>41063</v>
      </c>
      <c r="H4" s="34">
        <v>41063</v>
      </c>
      <c r="I4" s="34">
        <v>41065</v>
      </c>
      <c r="J4" s="34">
        <v>41063</v>
      </c>
      <c r="K4" s="34">
        <v>41062</v>
      </c>
      <c r="L4" s="34">
        <v>41062</v>
      </c>
      <c r="M4" s="34">
        <v>41062</v>
      </c>
      <c r="N4" s="34">
        <v>41061</v>
      </c>
      <c r="O4" s="177">
        <v>41061</v>
      </c>
      <c r="P4" s="178"/>
      <c r="Q4" s="177">
        <v>41064</v>
      </c>
      <c r="R4" s="178"/>
      <c r="S4" s="34">
        <v>41062</v>
      </c>
      <c r="T4" s="34">
        <v>41066</v>
      </c>
      <c r="U4" s="34">
        <v>41063</v>
      </c>
      <c r="V4" s="34">
        <v>41063</v>
      </c>
      <c r="W4" s="34"/>
      <c r="X4" s="34"/>
      <c r="Y4" s="35"/>
      <c r="Z4" s="172"/>
      <c r="AA4" s="133"/>
      <c r="AB4" s="133"/>
      <c r="AC4" s="162"/>
    </row>
    <row r="5" spans="1:29" x14ac:dyDescent="0.2">
      <c r="A5" s="174" t="s">
        <v>218</v>
      </c>
      <c r="B5" s="175"/>
      <c r="C5" s="176"/>
      <c r="D5" s="36">
        <v>120</v>
      </c>
      <c r="E5" s="37">
        <v>110</v>
      </c>
      <c r="F5" s="38">
        <v>120</v>
      </c>
      <c r="G5" s="38">
        <v>94.6</v>
      </c>
      <c r="H5" s="38">
        <v>99.4</v>
      </c>
      <c r="I5" s="38">
        <v>107</v>
      </c>
      <c r="J5" s="38">
        <v>98.5</v>
      </c>
      <c r="K5" s="38">
        <v>103</v>
      </c>
      <c r="L5" s="38">
        <v>100</v>
      </c>
      <c r="M5" s="38">
        <v>98.4</v>
      </c>
      <c r="N5" s="38">
        <v>91.9</v>
      </c>
      <c r="O5" s="36">
        <v>93.4</v>
      </c>
      <c r="P5" s="37">
        <v>104</v>
      </c>
      <c r="Q5" s="36">
        <v>122</v>
      </c>
      <c r="R5" s="37">
        <v>131</v>
      </c>
      <c r="S5" s="38">
        <v>99.6</v>
      </c>
      <c r="T5" s="38">
        <v>103</v>
      </c>
      <c r="U5" s="38">
        <v>109</v>
      </c>
      <c r="V5" s="38">
        <v>123</v>
      </c>
      <c r="W5" s="38"/>
      <c r="X5" s="38"/>
      <c r="Y5" s="39"/>
      <c r="Z5" s="172"/>
      <c r="AA5" s="133"/>
      <c r="AB5" s="133"/>
      <c r="AC5" s="162"/>
    </row>
    <row r="6" spans="1:29" ht="13.5" thickBot="1" x14ac:dyDescent="0.25">
      <c r="A6" s="164" t="s">
        <v>361</v>
      </c>
      <c r="B6" s="165"/>
      <c r="C6" s="166"/>
      <c r="D6" s="40"/>
      <c r="E6" s="41"/>
      <c r="F6" s="42"/>
      <c r="G6" s="42"/>
      <c r="H6" s="42"/>
      <c r="I6" s="42"/>
      <c r="J6" s="42"/>
      <c r="K6" s="42"/>
      <c r="L6" s="42"/>
      <c r="M6" s="42"/>
      <c r="N6" s="42"/>
      <c r="O6" s="40"/>
      <c r="P6" s="41"/>
      <c r="Q6" s="40"/>
      <c r="R6" s="41"/>
      <c r="S6" s="42"/>
      <c r="T6" s="42"/>
      <c r="U6" s="42"/>
      <c r="V6" s="42"/>
      <c r="W6" s="42"/>
      <c r="X6" s="42"/>
      <c r="Y6" s="43"/>
      <c r="Z6" s="173"/>
      <c r="AA6" s="160"/>
      <c r="AB6" s="160"/>
      <c r="AC6" s="163"/>
    </row>
    <row r="7" spans="1:29" ht="13.5" thickBot="1" x14ac:dyDescent="0.25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</row>
    <row r="8" spans="1:29" ht="13.5" thickBot="1" x14ac:dyDescent="0.25">
      <c r="A8" s="128" t="s">
        <v>344</v>
      </c>
      <c r="B8" s="126" t="s">
        <v>219</v>
      </c>
      <c r="C8" s="127" t="s">
        <v>220</v>
      </c>
      <c r="D8" s="158" t="s">
        <v>221</v>
      </c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 t="s">
        <v>366</v>
      </c>
      <c r="AA8" s="158"/>
      <c r="AB8" s="158"/>
      <c r="AC8" s="158"/>
    </row>
    <row r="9" spans="1:29" ht="13.5" thickBot="1" x14ac:dyDescent="0.25">
      <c r="A9" s="185" t="s">
        <v>222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7"/>
    </row>
    <row r="10" spans="1:29" ht="15" x14ac:dyDescent="0.2">
      <c r="A10" s="44" t="s">
        <v>223</v>
      </c>
      <c r="B10" s="45" t="s">
        <v>224</v>
      </c>
      <c r="C10" s="46"/>
      <c r="D10" s="167">
        <v>12.2</v>
      </c>
      <c r="E10" s="168"/>
      <c r="F10" s="47">
        <v>6.9</v>
      </c>
      <c r="G10" s="47">
        <v>4.9000000000000004</v>
      </c>
      <c r="H10" s="47">
        <v>4.4000000000000004</v>
      </c>
      <c r="I10" s="47">
        <v>8.6999999999999993</v>
      </c>
      <c r="J10" s="47">
        <v>4</v>
      </c>
      <c r="K10" s="47">
        <v>12.2</v>
      </c>
      <c r="L10" s="47">
        <v>12.8</v>
      </c>
      <c r="M10" s="47">
        <v>8.5</v>
      </c>
      <c r="N10" s="47">
        <v>2.6</v>
      </c>
      <c r="O10" s="169">
        <v>3</v>
      </c>
      <c r="P10" s="168"/>
      <c r="Q10" s="169">
        <v>15.5</v>
      </c>
      <c r="R10" s="168"/>
      <c r="S10" s="47">
        <v>7.7</v>
      </c>
      <c r="T10" s="47">
        <v>1.4</v>
      </c>
      <c r="U10" s="47">
        <v>3.5</v>
      </c>
      <c r="V10" s="47">
        <v>3.9</v>
      </c>
      <c r="W10" s="47"/>
      <c r="X10" s="47"/>
      <c r="Y10" s="47"/>
      <c r="Z10" s="54" t="s">
        <v>10</v>
      </c>
      <c r="AA10" s="45" t="s">
        <v>10</v>
      </c>
      <c r="AB10" s="45" t="s">
        <v>10</v>
      </c>
      <c r="AC10" s="46" t="s">
        <v>10</v>
      </c>
    </row>
    <row r="11" spans="1:29" x14ac:dyDescent="0.2">
      <c r="A11" s="48" t="s">
        <v>225</v>
      </c>
      <c r="B11" s="27" t="s">
        <v>226</v>
      </c>
      <c r="C11" s="37"/>
      <c r="D11" s="181">
        <v>6.77</v>
      </c>
      <c r="E11" s="180"/>
      <c r="F11" s="38">
        <v>7.15</v>
      </c>
      <c r="G11" s="38">
        <v>6.97</v>
      </c>
      <c r="H11" s="38">
        <v>6.85</v>
      </c>
      <c r="I11" s="38">
        <v>8.1999999999999993</v>
      </c>
      <c r="J11" s="38">
        <v>7.16</v>
      </c>
      <c r="K11" s="38">
        <v>7.12</v>
      </c>
      <c r="L11" s="49">
        <v>9.0399999999999991</v>
      </c>
      <c r="M11" s="49">
        <v>9.06</v>
      </c>
      <c r="N11" s="38">
        <v>7.02</v>
      </c>
      <c r="O11" s="179">
        <v>6.98</v>
      </c>
      <c r="P11" s="180"/>
      <c r="Q11" s="179">
        <v>6.35</v>
      </c>
      <c r="R11" s="180"/>
      <c r="S11" s="38">
        <v>7.07</v>
      </c>
      <c r="T11" s="38">
        <v>7.18</v>
      </c>
      <c r="U11" s="38">
        <v>7.19</v>
      </c>
      <c r="V11" s="38">
        <v>7.12</v>
      </c>
      <c r="W11" s="38"/>
      <c r="X11" s="38"/>
      <c r="Y11" s="38"/>
      <c r="Z11" s="36" t="s">
        <v>10</v>
      </c>
      <c r="AA11" s="27" t="s">
        <v>10</v>
      </c>
      <c r="AB11" s="27" t="s">
        <v>10</v>
      </c>
      <c r="AC11" s="37" t="s">
        <v>227</v>
      </c>
    </row>
    <row r="12" spans="1:29" x14ac:dyDescent="0.2">
      <c r="A12" s="48" t="s">
        <v>228</v>
      </c>
      <c r="B12" s="27" t="s">
        <v>229</v>
      </c>
      <c r="C12" s="37"/>
      <c r="D12" s="181">
        <v>77</v>
      </c>
      <c r="E12" s="180"/>
      <c r="F12" s="38">
        <v>182</v>
      </c>
      <c r="G12" s="38">
        <v>772</v>
      </c>
      <c r="H12" s="38">
        <v>1308</v>
      </c>
      <c r="I12" s="38">
        <v>692</v>
      </c>
      <c r="J12" s="38">
        <v>1193</v>
      </c>
      <c r="K12" s="38">
        <v>2155</v>
      </c>
      <c r="L12" s="38">
        <v>1937</v>
      </c>
      <c r="M12" s="38">
        <v>1743</v>
      </c>
      <c r="N12" s="38">
        <v>1254</v>
      </c>
      <c r="O12" s="179">
        <v>1242</v>
      </c>
      <c r="P12" s="180"/>
      <c r="Q12" s="179">
        <v>566</v>
      </c>
      <c r="R12" s="180"/>
      <c r="S12" s="38">
        <v>1303</v>
      </c>
      <c r="T12" s="38">
        <v>565</v>
      </c>
      <c r="U12" s="38">
        <v>807</v>
      </c>
      <c r="V12" s="38">
        <v>1045</v>
      </c>
      <c r="W12" s="38"/>
      <c r="X12" s="38"/>
      <c r="Y12" s="38"/>
      <c r="Z12" s="36" t="s">
        <v>10</v>
      </c>
      <c r="AA12" s="27" t="s">
        <v>10</v>
      </c>
      <c r="AB12" s="27" t="s">
        <v>10</v>
      </c>
      <c r="AC12" s="37" t="s">
        <v>10</v>
      </c>
    </row>
    <row r="13" spans="1:29" x14ac:dyDescent="0.2">
      <c r="A13" s="48" t="s">
        <v>230</v>
      </c>
      <c r="B13" s="27" t="s">
        <v>229</v>
      </c>
      <c r="C13" s="37"/>
      <c r="D13" s="181">
        <v>102</v>
      </c>
      <c r="E13" s="180"/>
      <c r="F13" s="38">
        <v>277</v>
      </c>
      <c r="G13" s="38">
        <v>1253</v>
      </c>
      <c r="H13" s="38">
        <v>2155</v>
      </c>
      <c r="I13" s="38">
        <v>1005</v>
      </c>
      <c r="J13" s="38">
        <v>1994</v>
      </c>
      <c r="K13" s="38">
        <v>2849</v>
      </c>
      <c r="L13" s="38">
        <v>2533</v>
      </c>
      <c r="M13" s="38">
        <v>2533</v>
      </c>
      <c r="N13" s="38">
        <v>2192</v>
      </c>
      <c r="O13" s="179">
        <v>2160</v>
      </c>
      <c r="P13" s="180"/>
      <c r="Q13" s="179">
        <v>692</v>
      </c>
      <c r="R13" s="180"/>
      <c r="S13" s="38">
        <v>1944</v>
      </c>
      <c r="T13" s="38">
        <v>1018</v>
      </c>
      <c r="U13" s="38">
        <v>1367</v>
      </c>
      <c r="V13" s="38">
        <v>1767</v>
      </c>
      <c r="W13" s="38"/>
      <c r="X13" s="38"/>
      <c r="Y13" s="38"/>
      <c r="Z13" s="36" t="s">
        <v>10</v>
      </c>
      <c r="AA13" s="27" t="s">
        <v>10</v>
      </c>
      <c r="AB13" s="27" t="s">
        <v>10</v>
      </c>
      <c r="AC13" s="37" t="s">
        <v>10</v>
      </c>
    </row>
    <row r="14" spans="1:29" x14ac:dyDescent="0.2">
      <c r="A14" s="48" t="s">
        <v>231</v>
      </c>
      <c r="B14" s="27" t="s">
        <v>232</v>
      </c>
      <c r="C14" s="37"/>
      <c r="D14" s="181">
        <v>1.63</v>
      </c>
      <c r="E14" s="180"/>
      <c r="F14" s="38">
        <v>1.37</v>
      </c>
      <c r="G14" s="38">
        <v>1.45</v>
      </c>
      <c r="H14" s="38">
        <v>7.12</v>
      </c>
      <c r="I14" s="38">
        <v>2.33</v>
      </c>
      <c r="J14" s="38">
        <v>7.54</v>
      </c>
      <c r="K14" s="38">
        <v>8.2100000000000009</v>
      </c>
      <c r="L14" s="38">
        <v>0.36</v>
      </c>
      <c r="M14" s="38">
        <v>1.18</v>
      </c>
      <c r="N14" s="38">
        <v>0.68</v>
      </c>
      <c r="O14" s="179">
        <v>1.5</v>
      </c>
      <c r="P14" s="180"/>
      <c r="Q14" s="179">
        <v>15.2</v>
      </c>
      <c r="R14" s="180"/>
      <c r="S14" s="38">
        <v>181</v>
      </c>
      <c r="T14" s="38">
        <v>18.399999999999999</v>
      </c>
      <c r="U14" s="38">
        <v>55</v>
      </c>
      <c r="V14" s="38">
        <v>9.48</v>
      </c>
      <c r="W14" s="38"/>
      <c r="X14" s="38"/>
      <c r="Y14" s="38"/>
      <c r="Z14" s="36" t="s">
        <v>10</v>
      </c>
      <c r="AA14" s="27" t="s">
        <v>10</v>
      </c>
      <c r="AB14" s="27" t="s">
        <v>10</v>
      </c>
      <c r="AC14" s="37" t="s">
        <v>10</v>
      </c>
    </row>
    <row r="15" spans="1:29" ht="16.5" thickBot="1" x14ac:dyDescent="0.25">
      <c r="A15" s="50" t="s">
        <v>233</v>
      </c>
      <c r="B15" s="51" t="s">
        <v>234</v>
      </c>
      <c r="C15" s="41"/>
      <c r="D15" s="190">
        <v>7.6</v>
      </c>
      <c r="E15" s="191"/>
      <c r="F15" s="42">
        <v>2.85</v>
      </c>
      <c r="G15" s="42">
        <v>5.26</v>
      </c>
      <c r="H15" s="42">
        <v>1.63</v>
      </c>
      <c r="I15" s="42">
        <v>10.1</v>
      </c>
      <c r="J15" s="42">
        <v>3.18</v>
      </c>
      <c r="K15" s="42">
        <v>4.21</v>
      </c>
      <c r="L15" s="42">
        <v>3.36</v>
      </c>
      <c r="M15" s="42">
        <v>2.8</v>
      </c>
      <c r="N15" s="42">
        <v>3.27</v>
      </c>
      <c r="O15" s="192">
        <v>1.54</v>
      </c>
      <c r="P15" s="191"/>
      <c r="Q15" s="192">
        <v>3.12</v>
      </c>
      <c r="R15" s="191"/>
      <c r="S15" s="42">
        <v>0.8</v>
      </c>
      <c r="T15" s="42">
        <v>5.12</v>
      </c>
      <c r="U15" s="42">
        <v>9.3000000000000007</v>
      </c>
      <c r="V15" s="42">
        <v>1</v>
      </c>
      <c r="W15" s="42"/>
      <c r="X15" s="42"/>
      <c r="Y15" s="42"/>
      <c r="Z15" s="40" t="s">
        <v>10</v>
      </c>
      <c r="AA15" s="51" t="s">
        <v>10</v>
      </c>
      <c r="AB15" s="51" t="s">
        <v>10</v>
      </c>
      <c r="AC15" s="41" t="s">
        <v>10</v>
      </c>
    </row>
    <row r="16" spans="1:29" ht="13.5" thickBot="1" x14ac:dyDescent="0.25">
      <c r="A16" s="188" t="s">
        <v>235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29" x14ac:dyDescent="0.2">
      <c r="A17" s="44" t="s">
        <v>236</v>
      </c>
      <c r="B17" s="45" t="s">
        <v>234</v>
      </c>
      <c r="C17" s="46">
        <v>5</v>
      </c>
      <c r="D17" s="52">
        <v>57</v>
      </c>
      <c r="E17" s="53">
        <v>47</v>
      </c>
      <c r="F17" s="47">
        <v>181</v>
      </c>
      <c r="G17" s="47">
        <v>724</v>
      </c>
      <c r="H17" s="47">
        <v>1080</v>
      </c>
      <c r="I17" s="47">
        <v>652</v>
      </c>
      <c r="J17" s="47">
        <v>1010</v>
      </c>
      <c r="K17" s="47">
        <v>1420</v>
      </c>
      <c r="L17" s="47">
        <v>1490</v>
      </c>
      <c r="M17" s="47">
        <v>1510</v>
      </c>
      <c r="N17" s="47">
        <v>1380</v>
      </c>
      <c r="O17" s="52">
        <v>1390</v>
      </c>
      <c r="P17" s="53">
        <v>1550</v>
      </c>
      <c r="Q17" s="52">
        <v>312</v>
      </c>
      <c r="R17" s="53">
        <v>329</v>
      </c>
      <c r="S17" s="47">
        <v>1250</v>
      </c>
      <c r="T17" s="47">
        <v>578</v>
      </c>
      <c r="U17" s="47">
        <v>793</v>
      </c>
      <c r="V17" s="47">
        <v>333</v>
      </c>
      <c r="W17" s="47"/>
      <c r="X17" s="47"/>
      <c r="Y17" s="47"/>
      <c r="Z17" s="54" t="s">
        <v>10</v>
      </c>
      <c r="AA17" s="45" t="s">
        <v>10</v>
      </c>
      <c r="AB17" s="45" t="s">
        <v>10</v>
      </c>
      <c r="AC17" s="46" t="s">
        <v>10</v>
      </c>
    </row>
    <row r="18" spans="1:29" x14ac:dyDescent="0.2">
      <c r="A18" s="48" t="s">
        <v>228</v>
      </c>
      <c r="B18" s="27" t="s">
        <v>229</v>
      </c>
      <c r="C18" s="37">
        <v>1</v>
      </c>
      <c r="D18" s="36">
        <v>101</v>
      </c>
      <c r="E18" s="37">
        <v>100</v>
      </c>
      <c r="F18" s="38">
        <v>273</v>
      </c>
      <c r="G18" s="38">
        <v>1230</v>
      </c>
      <c r="H18" s="38">
        <v>1980</v>
      </c>
      <c r="I18" s="38">
        <v>980</v>
      </c>
      <c r="J18" s="38">
        <v>1850</v>
      </c>
      <c r="K18" s="38">
        <v>2710</v>
      </c>
      <c r="L18" s="38">
        <v>2460</v>
      </c>
      <c r="M18" s="38">
        <v>2470</v>
      </c>
      <c r="N18" s="38">
        <v>2120</v>
      </c>
      <c r="O18" s="36">
        <v>2100</v>
      </c>
      <c r="P18" s="37">
        <v>2140</v>
      </c>
      <c r="Q18" s="36">
        <v>539</v>
      </c>
      <c r="R18" s="37">
        <v>536</v>
      </c>
      <c r="S18" s="38">
        <v>1960</v>
      </c>
      <c r="T18" s="38">
        <v>980</v>
      </c>
      <c r="U18" s="38">
        <v>1330</v>
      </c>
      <c r="V18" s="38">
        <v>527</v>
      </c>
      <c r="W18" s="38"/>
      <c r="X18" s="38"/>
      <c r="Y18" s="38"/>
      <c r="Z18" s="36" t="s">
        <v>10</v>
      </c>
      <c r="AA18" s="27" t="s">
        <v>10</v>
      </c>
      <c r="AB18" s="27" t="s">
        <v>10</v>
      </c>
      <c r="AC18" s="37" t="s">
        <v>10</v>
      </c>
    </row>
    <row r="19" spans="1:29" x14ac:dyDescent="0.2">
      <c r="A19" s="48" t="s">
        <v>225</v>
      </c>
      <c r="B19" s="27" t="s">
        <v>226</v>
      </c>
      <c r="C19" s="37">
        <v>0.01</v>
      </c>
      <c r="D19" s="36">
        <v>7</v>
      </c>
      <c r="E19" s="37">
        <v>7</v>
      </c>
      <c r="F19" s="38">
        <v>7.54</v>
      </c>
      <c r="G19" s="38">
        <v>7.59</v>
      </c>
      <c r="H19" s="38">
        <v>7.19</v>
      </c>
      <c r="I19" s="38">
        <v>8.09</v>
      </c>
      <c r="J19" s="38">
        <v>7.53</v>
      </c>
      <c r="K19" s="38">
        <v>6.98</v>
      </c>
      <c r="L19" s="38">
        <v>8.06</v>
      </c>
      <c r="M19" s="38">
        <v>8.15</v>
      </c>
      <c r="N19" s="38">
        <v>7.68</v>
      </c>
      <c r="O19" s="36">
        <v>7.7</v>
      </c>
      <c r="P19" s="37">
        <v>7.74</v>
      </c>
      <c r="Q19" s="36">
        <v>7.04</v>
      </c>
      <c r="R19" s="37">
        <v>7.18</v>
      </c>
      <c r="S19" s="38">
        <v>7.52</v>
      </c>
      <c r="T19" s="38">
        <v>7.65</v>
      </c>
      <c r="U19" s="38">
        <v>7.6</v>
      </c>
      <c r="V19" s="38">
        <v>7.68</v>
      </c>
      <c r="W19" s="38"/>
      <c r="X19" s="38"/>
      <c r="Y19" s="38"/>
      <c r="Z19" s="36" t="s">
        <v>10</v>
      </c>
      <c r="AA19" s="27" t="s">
        <v>10</v>
      </c>
      <c r="AB19" s="27" t="s">
        <v>10</v>
      </c>
      <c r="AC19" s="37" t="s">
        <v>227</v>
      </c>
    </row>
    <row r="20" spans="1:29" ht="13.5" thickBot="1" x14ac:dyDescent="0.25">
      <c r="A20" s="50" t="s">
        <v>237</v>
      </c>
      <c r="B20" s="51" t="s">
        <v>234</v>
      </c>
      <c r="C20" s="41">
        <v>1</v>
      </c>
      <c r="D20" s="40">
        <v>80</v>
      </c>
      <c r="E20" s="41">
        <v>71</v>
      </c>
      <c r="F20" s="42">
        <v>210</v>
      </c>
      <c r="G20" s="42">
        <v>999</v>
      </c>
      <c r="H20" s="42">
        <v>1680</v>
      </c>
      <c r="I20" s="42">
        <v>769</v>
      </c>
      <c r="J20" s="42">
        <v>1490</v>
      </c>
      <c r="K20" s="42">
        <v>2460</v>
      </c>
      <c r="L20" s="42">
        <v>2300</v>
      </c>
      <c r="M20" s="42">
        <v>2330</v>
      </c>
      <c r="N20" s="42">
        <v>1790</v>
      </c>
      <c r="O20" s="40">
        <v>1770</v>
      </c>
      <c r="P20" s="41">
        <v>1840</v>
      </c>
      <c r="Q20" s="40">
        <v>401</v>
      </c>
      <c r="R20" s="41">
        <v>404</v>
      </c>
      <c r="S20" s="42">
        <v>1710</v>
      </c>
      <c r="T20" s="42">
        <v>769</v>
      </c>
      <c r="U20" s="42">
        <v>1100</v>
      </c>
      <c r="V20" s="42">
        <v>400</v>
      </c>
      <c r="W20" s="42"/>
      <c r="X20" s="42"/>
      <c r="Y20" s="42"/>
      <c r="Z20" s="40" t="s">
        <v>10</v>
      </c>
      <c r="AA20" s="51" t="s">
        <v>10</v>
      </c>
      <c r="AB20" s="51" t="s">
        <v>10</v>
      </c>
      <c r="AC20" s="41" t="s">
        <v>10</v>
      </c>
    </row>
    <row r="21" spans="1:29" ht="13.5" thickBot="1" x14ac:dyDescent="0.25">
      <c r="A21" s="188" t="s">
        <v>238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</row>
    <row r="22" spans="1:29" ht="14.25" x14ac:dyDescent="0.2">
      <c r="A22" s="44" t="s">
        <v>239</v>
      </c>
      <c r="B22" s="182" t="s">
        <v>234</v>
      </c>
      <c r="C22" s="46">
        <v>0.01</v>
      </c>
      <c r="D22" s="52">
        <v>0.09</v>
      </c>
      <c r="E22" s="53">
        <v>0.01</v>
      </c>
      <c r="F22" s="47">
        <v>0.01</v>
      </c>
      <c r="G22" s="47">
        <v>0.06</v>
      </c>
      <c r="H22" s="55">
        <v>10.7</v>
      </c>
      <c r="I22" s="47">
        <v>0.05</v>
      </c>
      <c r="J22" s="55">
        <v>8.5</v>
      </c>
      <c r="K22" s="55">
        <v>12.3</v>
      </c>
      <c r="L22" s="56">
        <v>9.6</v>
      </c>
      <c r="M22" s="56">
        <v>8.3000000000000007</v>
      </c>
      <c r="N22" s="47">
        <v>0.05</v>
      </c>
      <c r="O22" s="52">
        <v>0.01</v>
      </c>
      <c r="P22" s="53">
        <v>0.05</v>
      </c>
      <c r="Q22" s="52">
        <v>1.02</v>
      </c>
      <c r="R22" s="53">
        <v>0.83</v>
      </c>
      <c r="S22" s="55">
        <v>7.4</v>
      </c>
      <c r="T22" s="47">
        <v>0.05</v>
      </c>
      <c r="U22" s="55">
        <v>4.41</v>
      </c>
      <c r="V22" s="47">
        <v>1</v>
      </c>
      <c r="W22" s="47"/>
      <c r="X22" s="47"/>
      <c r="Y22" s="47"/>
      <c r="Z22" s="57" t="s">
        <v>240</v>
      </c>
      <c r="AA22" s="58" t="s">
        <v>10</v>
      </c>
      <c r="AB22" s="58" t="s">
        <v>10</v>
      </c>
      <c r="AC22" s="59" t="s">
        <v>241</v>
      </c>
    </row>
    <row r="23" spans="1:29" x14ac:dyDescent="0.2">
      <c r="A23" s="48" t="s">
        <v>242</v>
      </c>
      <c r="B23" s="183"/>
      <c r="C23" s="37">
        <v>5</v>
      </c>
      <c r="D23" s="36">
        <v>21</v>
      </c>
      <c r="E23" s="37">
        <v>17</v>
      </c>
      <c r="F23" s="38">
        <v>106</v>
      </c>
      <c r="G23" s="38">
        <v>235</v>
      </c>
      <c r="H23" s="38">
        <v>505</v>
      </c>
      <c r="I23" s="38">
        <v>332</v>
      </c>
      <c r="J23" s="38">
        <v>600</v>
      </c>
      <c r="K23" s="38">
        <v>58</v>
      </c>
      <c r="L23" s="38">
        <v>53</v>
      </c>
      <c r="M23" s="38">
        <v>58</v>
      </c>
      <c r="N23" s="38">
        <v>522</v>
      </c>
      <c r="O23" s="36">
        <v>483</v>
      </c>
      <c r="P23" s="37">
        <v>473</v>
      </c>
      <c r="Q23" s="36">
        <v>196</v>
      </c>
      <c r="R23" s="37">
        <v>192</v>
      </c>
      <c r="S23" s="38">
        <v>354</v>
      </c>
      <c r="T23" s="38">
        <v>209</v>
      </c>
      <c r="U23" s="38">
        <v>261</v>
      </c>
      <c r="V23" s="38">
        <v>135</v>
      </c>
      <c r="W23" s="38"/>
      <c r="X23" s="38"/>
      <c r="Y23" s="38"/>
      <c r="Z23" s="60" t="s">
        <v>10</v>
      </c>
      <c r="AA23" s="61" t="s">
        <v>10</v>
      </c>
      <c r="AB23" s="61" t="s">
        <v>10</v>
      </c>
      <c r="AC23" s="62" t="s">
        <v>10</v>
      </c>
    </row>
    <row r="24" spans="1:29" x14ac:dyDescent="0.2">
      <c r="A24" s="48" t="s">
        <v>243</v>
      </c>
      <c r="B24" s="183"/>
      <c r="C24" s="37">
        <v>0.02</v>
      </c>
      <c r="D24" s="36">
        <v>0.2</v>
      </c>
      <c r="E24" s="37">
        <v>0.2</v>
      </c>
      <c r="F24" s="38">
        <v>0.2</v>
      </c>
      <c r="G24" s="38">
        <v>0.2</v>
      </c>
      <c r="H24" s="38">
        <v>0.2</v>
      </c>
      <c r="I24" s="38">
        <v>0.2</v>
      </c>
      <c r="J24" s="38">
        <v>0.2</v>
      </c>
      <c r="K24" s="38">
        <v>0.2</v>
      </c>
      <c r="L24" s="38">
        <v>0.2</v>
      </c>
      <c r="M24" s="38">
        <v>0.2</v>
      </c>
      <c r="N24" s="38">
        <v>0.2</v>
      </c>
      <c r="O24" s="36">
        <v>0.2</v>
      </c>
      <c r="P24" s="37">
        <v>0.2</v>
      </c>
      <c r="Q24" s="36">
        <v>0.2</v>
      </c>
      <c r="R24" s="37">
        <v>0.2</v>
      </c>
      <c r="S24" s="38">
        <v>0.2</v>
      </c>
      <c r="T24" s="38">
        <v>0.2</v>
      </c>
      <c r="U24" s="38">
        <v>0.2</v>
      </c>
      <c r="V24" s="38">
        <v>0.2</v>
      </c>
      <c r="W24" s="38"/>
      <c r="X24" s="38"/>
      <c r="Y24" s="38"/>
      <c r="Z24" s="60" t="s">
        <v>10</v>
      </c>
      <c r="AA24" s="61" t="s">
        <v>10</v>
      </c>
      <c r="AB24" s="61" t="s">
        <v>10</v>
      </c>
      <c r="AC24" s="62" t="s">
        <v>10</v>
      </c>
    </row>
    <row r="25" spans="1:29" x14ac:dyDescent="0.2">
      <c r="A25" s="48" t="s">
        <v>244</v>
      </c>
      <c r="B25" s="183"/>
      <c r="C25" s="37">
        <v>6</v>
      </c>
      <c r="D25" s="36">
        <v>6</v>
      </c>
      <c r="E25" s="37">
        <v>6</v>
      </c>
      <c r="F25" s="38">
        <v>6</v>
      </c>
      <c r="G25" s="38">
        <v>6</v>
      </c>
      <c r="H25" s="38">
        <v>6</v>
      </c>
      <c r="I25" s="38">
        <v>6</v>
      </c>
      <c r="J25" s="38">
        <v>6</v>
      </c>
      <c r="K25" s="38">
        <v>6</v>
      </c>
      <c r="L25" s="38">
        <v>6</v>
      </c>
      <c r="M25" s="38">
        <v>6</v>
      </c>
      <c r="N25" s="38">
        <v>6</v>
      </c>
      <c r="O25" s="36">
        <v>6</v>
      </c>
      <c r="P25" s="37">
        <v>6</v>
      </c>
      <c r="Q25" s="36">
        <v>6</v>
      </c>
      <c r="R25" s="37">
        <v>6</v>
      </c>
      <c r="S25" s="38">
        <v>6</v>
      </c>
      <c r="T25" s="38">
        <v>6</v>
      </c>
      <c r="U25" s="38">
        <v>6</v>
      </c>
      <c r="V25" s="38">
        <v>6</v>
      </c>
      <c r="W25" s="38"/>
      <c r="X25" s="38"/>
      <c r="Y25" s="38"/>
      <c r="Z25" s="60" t="s">
        <v>10</v>
      </c>
      <c r="AA25" s="61" t="s">
        <v>10</v>
      </c>
      <c r="AB25" s="61" t="s">
        <v>10</v>
      </c>
      <c r="AC25" s="62" t="s">
        <v>10</v>
      </c>
    </row>
    <row r="26" spans="1:29" x14ac:dyDescent="0.2">
      <c r="A26" s="48" t="s">
        <v>245</v>
      </c>
      <c r="B26" s="183"/>
      <c r="C26" s="37">
        <v>0.05</v>
      </c>
      <c r="D26" s="36">
        <v>1</v>
      </c>
      <c r="E26" s="37">
        <v>0.7</v>
      </c>
      <c r="F26" s="38">
        <v>0.5</v>
      </c>
      <c r="G26" s="38">
        <v>0.5</v>
      </c>
      <c r="H26" s="38">
        <v>6.2</v>
      </c>
      <c r="I26" s="38">
        <v>0.8</v>
      </c>
      <c r="J26" s="38">
        <v>6.6</v>
      </c>
      <c r="K26" s="38">
        <v>4</v>
      </c>
      <c r="L26" s="38">
        <v>1.9</v>
      </c>
      <c r="M26" s="38">
        <v>2</v>
      </c>
      <c r="N26" s="38">
        <v>1.4</v>
      </c>
      <c r="O26" s="36">
        <v>0.8</v>
      </c>
      <c r="P26" s="37">
        <v>0.8</v>
      </c>
      <c r="Q26" s="36">
        <v>0.5</v>
      </c>
      <c r="R26" s="37">
        <v>0.8</v>
      </c>
      <c r="S26" s="38">
        <v>0.8</v>
      </c>
      <c r="T26" s="38">
        <v>0.6</v>
      </c>
      <c r="U26" s="38">
        <v>1.3</v>
      </c>
      <c r="V26" s="38">
        <v>0.7</v>
      </c>
      <c r="W26" s="38"/>
      <c r="X26" s="38"/>
      <c r="Y26" s="38"/>
      <c r="Z26" s="60" t="s">
        <v>10</v>
      </c>
      <c r="AA26" s="61" t="s">
        <v>10</v>
      </c>
      <c r="AB26" s="61" t="s">
        <v>10</v>
      </c>
      <c r="AC26" s="62">
        <v>120</v>
      </c>
    </row>
    <row r="27" spans="1:29" x14ac:dyDescent="0.2">
      <c r="A27" s="48" t="s">
        <v>246</v>
      </c>
      <c r="B27" s="183"/>
      <c r="C27" s="37">
        <v>5</v>
      </c>
      <c r="D27" s="36">
        <v>5</v>
      </c>
      <c r="E27" s="37">
        <v>5</v>
      </c>
      <c r="F27" s="38">
        <v>5</v>
      </c>
      <c r="G27" s="38">
        <v>5</v>
      </c>
      <c r="H27" s="38">
        <v>5</v>
      </c>
      <c r="I27" s="38">
        <v>5</v>
      </c>
      <c r="J27" s="38">
        <v>5</v>
      </c>
      <c r="K27" s="38">
        <v>5</v>
      </c>
      <c r="L27" s="38">
        <v>5</v>
      </c>
      <c r="M27" s="38">
        <v>5</v>
      </c>
      <c r="N27" s="38">
        <v>5</v>
      </c>
      <c r="O27" s="36">
        <v>5</v>
      </c>
      <c r="P27" s="37">
        <v>5</v>
      </c>
      <c r="Q27" s="36">
        <v>5</v>
      </c>
      <c r="R27" s="37">
        <v>5</v>
      </c>
      <c r="S27" s="38">
        <v>5</v>
      </c>
      <c r="T27" s="38">
        <v>5</v>
      </c>
      <c r="U27" s="38">
        <v>5</v>
      </c>
      <c r="V27" s="38">
        <v>5</v>
      </c>
      <c r="W27" s="38"/>
      <c r="X27" s="38"/>
      <c r="Y27" s="38"/>
      <c r="Z27" s="60" t="s">
        <v>10</v>
      </c>
      <c r="AA27" s="61" t="s">
        <v>10</v>
      </c>
      <c r="AB27" s="61" t="s">
        <v>10</v>
      </c>
      <c r="AC27" s="62" t="s">
        <v>10</v>
      </c>
    </row>
    <row r="28" spans="1:29" x14ac:dyDescent="0.2">
      <c r="A28" s="48" t="s">
        <v>247</v>
      </c>
      <c r="B28" s="183"/>
      <c r="C28" s="37">
        <v>5</v>
      </c>
      <c r="D28" s="36">
        <v>17</v>
      </c>
      <c r="E28" s="37">
        <v>14</v>
      </c>
      <c r="F28" s="38">
        <v>87</v>
      </c>
      <c r="G28" s="38">
        <v>192</v>
      </c>
      <c r="H28" s="38">
        <v>415</v>
      </c>
      <c r="I28" s="38">
        <v>273</v>
      </c>
      <c r="J28" s="38">
        <v>492</v>
      </c>
      <c r="K28" s="38">
        <v>48</v>
      </c>
      <c r="L28" s="38">
        <v>44</v>
      </c>
      <c r="M28" s="38">
        <v>48</v>
      </c>
      <c r="N28" s="38">
        <v>428</v>
      </c>
      <c r="O28" s="36">
        <v>396</v>
      </c>
      <c r="P28" s="37">
        <v>388</v>
      </c>
      <c r="Q28" s="36">
        <v>161</v>
      </c>
      <c r="R28" s="37">
        <v>158</v>
      </c>
      <c r="S28" s="38">
        <v>290</v>
      </c>
      <c r="T28" s="38">
        <v>171</v>
      </c>
      <c r="U28" s="38">
        <v>214</v>
      </c>
      <c r="V28" s="38">
        <v>111</v>
      </c>
      <c r="W28" s="38"/>
      <c r="X28" s="38"/>
      <c r="Y28" s="38"/>
      <c r="Z28" s="60" t="s">
        <v>10</v>
      </c>
      <c r="AA28" s="61" t="s">
        <v>10</v>
      </c>
      <c r="AB28" s="61" t="s">
        <v>10</v>
      </c>
      <c r="AC28" s="62" t="s">
        <v>10</v>
      </c>
    </row>
    <row r="29" spans="1:29" x14ac:dyDescent="0.2">
      <c r="A29" s="48" t="s">
        <v>248</v>
      </c>
      <c r="B29" s="183"/>
      <c r="C29" s="37">
        <v>0.2</v>
      </c>
      <c r="D29" s="36">
        <v>0.2</v>
      </c>
      <c r="E29" s="37">
        <v>0.2</v>
      </c>
      <c r="F29" s="38">
        <v>0.2</v>
      </c>
      <c r="G29" s="38">
        <v>0.2</v>
      </c>
      <c r="H29" s="38">
        <v>0.2</v>
      </c>
      <c r="I29" s="38">
        <v>0.2</v>
      </c>
      <c r="J29" s="38">
        <v>0.2</v>
      </c>
      <c r="K29" s="38">
        <v>0.2</v>
      </c>
      <c r="L29" s="38">
        <v>0.2</v>
      </c>
      <c r="M29" s="38">
        <v>0.2</v>
      </c>
      <c r="N29" s="38">
        <v>0.2</v>
      </c>
      <c r="O29" s="36">
        <v>0.2</v>
      </c>
      <c r="P29" s="37">
        <v>0.2</v>
      </c>
      <c r="Q29" s="36">
        <v>0.4</v>
      </c>
      <c r="R29" s="37">
        <v>0.5</v>
      </c>
      <c r="S29" s="38">
        <v>1.1000000000000001</v>
      </c>
      <c r="T29" s="38">
        <v>0.2</v>
      </c>
      <c r="U29" s="38">
        <v>0.3</v>
      </c>
      <c r="V29" s="38">
        <v>0.2</v>
      </c>
      <c r="W29" s="38"/>
      <c r="X29" s="38"/>
      <c r="Y29" s="38"/>
      <c r="Z29" s="60" t="s">
        <v>10</v>
      </c>
      <c r="AA29" s="61" t="s">
        <v>10</v>
      </c>
      <c r="AB29" s="61" t="s">
        <v>10</v>
      </c>
      <c r="AC29" s="62" t="s">
        <v>10</v>
      </c>
    </row>
    <row r="30" spans="1:29" x14ac:dyDescent="0.2">
      <c r="A30" s="48" t="s">
        <v>249</v>
      </c>
      <c r="B30" s="183"/>
      <c r="C30" s="37">
        <v>2E-3</v>
      </c>
      <c r="D30" s="36">
        <v>2E-3</v>
      </c>
      <c r="E30" s="37">
        <v>2E-3</v>
      </c>
      <c r="F30" s="38">
        <v>2E-3</v>
      </c>
      <c r="G30" s="49">
        <v>2.8000000000000001E-2</v>
      </c>
      <c r="H30" s="63">
        <v>3</v>
      </c>
      <c r="I30" s="38">
        <v>2E-3</v>
      </c>
      <c r="J30" s="63">
        <v>4.9000000000000004</v>
      </c>
      <c r="K30" s="64">
        <v>0.5</v>
      </c>
      <c r="L30" s="64">
        <v>0.17</v>
      </c>
      <c r="M30" s="64">
        <v>0.13</v>
      </c>
      <c r="N30" s="38">
        <v>2E-3</v>
      </c>
      <c r="O30" s="36">
        <v>2E-3</v>
      </c>
      <c r="P30" s="37">
        <v>2E-3</v>
      </c>
      <c r="Q30" s="65">
        <v>1.7999999999999999E-2</v>
      </c>
      <c r="R30" s="66">
        <v>1.4999999999999999E-2</v>
      </c>
      <c r="S30" s="64">
        <v>5.1999999999999998E-2</v>
      </c>
      <c r="T30" s="38">
        <v>4.0000000000000001E-3</v>
      </c>
      <c r="U30" s="64">
        <v>0.57999999999999996</v>
      </c>
      <c r="V30" s="64">
        <v>6.7000000000000004E-2</v>
      </c>
      <c r="W30" s="38"/>
      <c r="X30" s="38"/>
      <c r="Y30" s="38"/>
      <c r="Z30" s="60">
        <v>0.05</v>
      </c>
      <c r="AA30" s="61">
        <v>1</v>
      </c>
      <c r="AB30" s="61">
        <v>2</v>
      </c>
      <c r="AC30" s="62">
        <v>5.0000000000000001E-3</v>
      </c>
    </row>
    <row r="31" spans="1:29" x14ac:dyDescent="0.2">
      <c r="A31" s="48" t="s">
        <v>250</v>
      </c>
      <c r="B31" s="183"/>
      <c r="C31" s="37">
        <v>0.3</v>
      </c>
      <c r="D31" s="36">
        <v>0.7</v>
      </c>
      <c r="E31" s="37">
        <v>0.3</v>
      </c>
      <c r="F31" s="38">
        <v>0.4</v>
      </c>
      <c r="G31" s="38">
        <v>0.4</v>
      </c>
      <c r="H31" s="38">
        <v>11</v>
      </c>
      <c r="I31" s="38">
        <v>0.3</v>
      </c>
      <c r="J31" s="38">
        <v>31</v>
      </c>
      <c r="K31" s="38">
        <v>3.3</v>
      </c>
      <c r="L31" s="38">
        <v>0.4</v>
      </c>
      <c r="M31" s="38">
        <v>0.4</v>
      </c>
      <c r="N31" s="38">
        <v>0.5</v>
      </c>
      <c r="O31" s="36">
        <v>0.3</v>
      </c>
      <c r="P31" s="37">
        <v>0.3</v>
      </c>
      <c r="Q31" s="36">
        <v>0.3</v>
      </c>
      <c r="R31" s="37">
        <v>0.3</v>
      </c>
      <c r="S31" s="38">
        <v>0.3</v>
      </c>
      <c r="T31" s="38">
        <v>0.3</v>
      </c>
      <c r="U31" s="38">
        <v>3.7</v>
      </c>
      <c r="V31" s="38">
        <v>0.6</v>
      </c>
      <c r="W31" s="38"/>
      <c r="X31" s="38"/>
      <c r="Y31" s="38"/>
      <c r="Z31" s="60" t="s">
        <v>10</v>
      </c>
      <c r="AA31" s="61" t="s">
        <v>10</v>
      </c>
      <c r="AB31" s="61" t="s">
        <v>10</v>
      </c>
      <c r="AC31" s="62" t="s">
        <v>10</v>
      </c>
    </row>
    <row r="32" spans="1:29" x14ac:dyDescent="0.2">
      <c r="A32" s="48" t="s">
        <v>251</v>
      </c>
      <c r="B32" s="183"/>
      <c r="C32" s="37">
        <v>0.5</v>
      </c>
      <c r="D32" s="36">
        <v>10.7</v>
      </c>
      <c r="E32" s="37">
        <v>11</v>
      </c>
      <c r="F32" s="38">
        <v>13</v>
      </c>
      <c r="G32" s="38">
        <v>5.9</v>
      </c>
      <c r="H32" s="38">
        <v>31</v>
      </c>
      <c r="I32" s="38">
        <v>4.8</v>
      </c>
      <c r="J32" s="38">
        <v>31.9</v>
      </c>
      <c r="K32" s="38">
        <v>5.8</v>
      </c>
      <c r="L32" s="38">
        <v>5.4</v>
      </c>
      <c r="M32" s="38">
        <v>5.8</v>
      </c>
      <c r="N32" s="38">
        <v>3.4</v>
      </c>
      <c r="O32" s="36">
        <v>3.2</v>
      </c>
      <c r="P32" s="37">
        <v>3</v>
      </c>
      <c r="Q32" s="36">
        <v>11</v>
      </c>
      <c r="R32" s="37">
        <v>11.4</v>
      </c>
      <c r="S32" s="38">
        <v>10.8</v>
      </c>
      <c r="T32" s="38">
        <v>5.7</v>
      </c>
      <c r="U32" s="38">
        <v>14.5</v>
      </c>
      <c r="V32" s="38">
        <v>7.5</v>
      </c>
      <c r="W32" s="38"/>
      <c r="X32" s="38"/>
      <c r="Y32" s="38"/>
      <c r="Z32" s="60" t="s">
        <v>10</v>
      </c>
      <c r="AA32" s="61" t="s">
        <v>10</v>
      </c>
      <c r="AB32" s="61" t="s">
        <v>10</v>
      </c>
      <c r="AC32" s="62" t="s">
        <v>10</v>
      </c>
    </row>
    <row r="33" spans="1:29" ht="14.25" x14ac:dyDescent="0.2">
      <c r="A33" s="48" t="s">
        <v>252</v>
      </c>
      <c r="B33" s="183"/>
      <c r="C33" s="37">
        <v>0.01</v>
      </c>
      <c r="D33" s="36">
        <v>0.1</v>
      </c>
      <c r="E33" s="37">
        <v>0.1</v>
      </c>
      <c r="F33" s="38">
        <v>0.1</v>
      </c>
      <c r="G33" s="38">
        <v>0.1</v>
      </c>
      <c r="H33" s="38">
        <v>0.1</v>
      </c>
      <c r="I33" s="38">
        <v>0.1</v>
      </c>
      <c r="J33" s="38">
        <v>0.1</v>
      </c>
      <c r="K33" s="49">
        <v>0.47</v>
      </c>
      <c r="L33" s="49">
        <v>0.39</v>
      </c>
      <c r="M33" s="49">
        <v>0.45</v>
      </c>
      <c r="N33" s="38">
        <v>0.1</v>
      </c>
      <c r="O33" s="36">
        <v>0.1</v>
      </c>
      <c r="P33" s="37">
        <v>0.1</v>
      </c>
      <c r="Q33" s="36">
        <v>0.1</v>
      </c>
      <c r="R33" s="37">
        <v>0.1</v>
      </c>
      <c r="S33" s="38">
        <v>0.1</v>
      </c>
      <c r="T33" s="38">
        <v>0.1</v>
      </c>
      <c r="U33" s="38">
        <v>0.1</v>
      </c>
      <c r="V33" s="38">
        <v>0.1</v>
      </c>
      <c r="W33" s="38"/>
      <c r="X33" s="38"/>
      <c r="Y33" s="38"/>
      <c r="Z33" s="61" t="s">
        <v>253</v>
      </c>
      <c r="AA33" s="67" t="s">
        <v>10</v>
      </c>
      <c r="AB33" s="61" t="s">
        <v>10</v>
      </c>
      <c r="AC33" s="62">
        <v>0.12</v>
      </c>
    </row>
    <row r="34" spans="1:29" x14ac:dyDescent="0.2">
      <c r="A34" s="48" t="s">
        <v>254</v>
      </c>
      <c r="B34" s="183"/>
      <c r="C34" s="37">
        <v>0.5</v>
      </c>
      <c r="D34" s="36">
        <v>31</v>
      </c>
      <c r="E34" s="37">
        <v>30</v>
      </c>
      <c r="F34" s="38">
        <v>68</v>
      </c>
      <c r="G34" s="38">
        <v>589</v>
      </c>
      <c r="H34" s="38">
        <v>894</v>
      </c>
      <c r="I34" s="38">
        <v>345</v>
      </c>
      <c r="J34" s="38">
        <v>707</v>
      </c>
      <c r="K34" s="68">
        <v>1670</v>
      </c>
      <c r="L34" s="68">
        <v>1590</v>
      </c>
      <c r="M34" s="68">
        <v>1620</v>
      </c>
      <c r="N34" s="68">
        <v>1070</v>
      </c>
      <c r="O34" s="69">
        <v>1070</v>
      </c>
      <c r="P34" s="70">
        <v>1080</v>
      </c>
      <c r="Q34" s="36">
        <v>123</v>
      </c>
      <c r="R34" s="37">
        <v>120</v>
      </c>
      <c r="S34" s="68">
        <v>1010</v>
      </c>
      <c r="T34" s="38">
        <v>403</v>
      </c>
      <c r="U34" s="38">
        <v>604</v>
      </c>
      <c r="V34" s="38">
        <v>181</v>
      </c>
      <c r="W34" s="38"/>
      <c r="X34" s="38"/>
      <c r="Y34" s="38"/>
      <c r="Z34" s="71">
        <v>1000</v>
      </c>
      <c r="AA34" s="61" t="s">
        <v>10</v>
      </c>
      <c r="AB34" s="61" t="s">
        <v>10</v>
      </c>
      <c r="AC34" s="72" t="s">
        <v>255</v>
      </c>
    </row>
    <row r="35" spans="1:29" x14ac:dyDescent="0.2">
      <c r="A35" s="48" t="s">
        <v>256</v>
      </c>
      <c r="B35" s="183"/>
      <c r="C35" s="37">
        <v>5.0000000000000001E-3</v>
      </c>
      <c r="D35" s="36">
        <v>5.0000000000000001E-3</v>
      </c>
      <c r="E35" s="37">
        <v>5.0000000000000001E-3</v>
      </c>
      <c r="F35" s="38">
        <v>5.0000000000000001E-3</v>
      </c>
      <c r="G35" s="38">
        <v>5.0000000000000001E-3</v>
      </c>
      <c r="H35" s="38">
        <v>8.0000000000000002E-3</v>
      </c>
      <c r="I35" s="38">
        <v>5.0000000000000001E-3</v>
      </c>
      <c r="J35" s="38">
        <v>1.4E-2</v>
      </c>
      <c r="K35" s="38">
        <v>5.0000000000000001E-3</v>
      </c>
      <c r="L35" s="38">
        <v>5.0000000000000001E-3</v>
      </c>
      <c r="M35" s="38">
        <v>6.0000000000000001E-3</v>
      </c>
      <c r="N35" s="38">
        <v>5.0000000000000001E-3</v>
      </c>
      <c r="O35" s="36">
        <v>5.0000000000000001E-3</v>
      </c>
      <c r="P35" s="37">
        <v>5.0000000000000001E-3</v>
      </c>
      <c r="Q35" s="36">
        <v>5.0000000000000001E-3</v>
      </c>
      <c r="R35" s="37">
        <v>5.0000000000000001E-3</v>
      </c>
      <c r="S35" s="38">
        <v>8.0000000000000002E-3</v>
      </c>
      <c r="T35" s="38">
        <v>5.0000000000000001E-3</v>
      </c>
      <c r="U35" s="38">
        <v>5.0000000000000001E-3</v>
      </c>
      <c r="V35" s="38">
        <v>5.0000000000000001E-3</v>
      </c>
      <c r="W35" s="38"/>
      <c r="X35" s="38"/>
      <c r="Y35" s="38"/>
      <c r="Z35" s="71">
        <v>0.02</v>
      </c>
      <c r="AA35" s="61" t="s">
        <v>10</v>
      </c>
      <c r="AB35" s="61" t="s">
        <v>10</v>
      </c>
      <c r="AC35" s="62" t="s">
        <v>10</v>
      </c>
    </row>
    <row r="36" spans="1:29" x14ac:dyDescent="0.2">
      <c r="A36" s="48" t="s">
        <v>257</v>
      </c>
      <c r="B36" s="183"/>
      <c r="C36" s="37">
        <v>0.01</v>
      </c>
      <c r="D36" s="36">
        <v>0.2</v>
      </c>
      <c r="E36" s="37">
        <v>0.2</v>
      </c>
      <c r="F36" s="38">
        <v>0.2</v>
      </c>
      <c r="G36" s="38">
        <v>0.92</v>
      </c>
      <c r="H36" s="38">
        <v>0.56999999999999995</v>
      </c>
      <c r="I36" s="38">
        <v>0.2</v>
      </c>
      <c r="J36" s="38">
        <v>0.49</v>
      </c>
      <c r="K36" s="38">
        <v>0.2</v>
      </c>
      <c r="L36" s="38">
        <v>0.2</v>
      </c>
      <c r="M36" s="38">
        <v>0.2</v>
      </c>
      <c r="N36" s="38">
        <v>2.2400000000000002</v>
      </c>
      <c r="O36" s="36">
        <v>0.88</v>
      </c>
      <c r="P36" s="37">
        <v>0.9</v>
      </c>
      <c r="Q36" s="36">
        <v>6.12</v>
      </c>
      <c r="R36" s="37">
        <v>6.13</v>
      </c>
      <c r="S36" s="38">
        <v>0.4</v>
      </c>
      <c r="T36" s="38">
        <v>4.92</v>
      </c>
      <c r="U36" s="38">
        <v>2.58</v>
      </c>
      <c r="V36" s="38">
        <v>1.36</v>
      </c>
      <c r="W36" s="38"/>
      <c r="X36" s="38"/>
      <c r="Y36" s="38"/>
      <c r="Z36" s="71">
        <v>400</v>
      </c>
      <c r="AA36" s="61" t="s">
        <v>10</v>
      </c>
      <c r="AB36" s="61" t="s">
        <v>10</v>
      </c>
      <c r="AC36" s="62" t="s">
        <v>10</v>
      </c>
    </row>
    <row r="37" spans="1:29" x14ac:dyDescent="0.2">
      <c r="A37" s="48" t="s">
        <v>258</v>
      </c>
      <c r="B37" s="183"/>
      <c r="C37" s="37">
        <v>0.01</v>
      </c>
      <c r="D37" s="36">
        <v>0.1</v>
      </c>
      <c r="E37" s="37">
        <v>0.1</v>
      </c>
      <c r="F37" s="38">
        <v>0.1</v>
      </c>
      <c r="G37" s="38">
        <v>0.65</v>
      </c>
      <c r="H37" s="38">
        <v>0.23</v>
      </c>
      <c r="I37" s="38">
        <v>0.1</v>
      </c>
      <c r="J37" s="38">
        <v>0.1</v>
      </c>
      <c r="K37" s="38">
        <v>0.1</v>
      </c>
      <c r="L37" s="38">
        <v>0.1</v>
      </c>
      <c r="M37" s="38">
        <v>0.1</v>
      </c>
      <c r="N37" s="38">
        <v>1.69</v>
      </c>
      <c r="O37" s="36">
        <v>0.48</v>
      </c>
      <c r="P37" s="37">
        <v>0.37</v>
      </c>
      <c r="Q37" s="36">
        <v>6.12</v>
      </c>
      <c r="R37" s="37">
        <v>6.13</v>
      </c>
      <c r="S37" s="38">
        <v>0.4</v>
      </c>
      <c r="T37" s="38">
        <v>4.92</v>
      </c>
      <c r="U37" s="38">
        <v>2.58</v>
      </c>
      <c r="V37" s="38">
        <v>1.36</v>
      </c>
      <c r="W37" s="38"/>
      <c r="X37" s="38"/>
      <c r="Y37" s="38"/>
      <c r="Z37" s="71">
        <v>400</v>
      </c>
      <c r="AA37" s="61" t="s">
        <v>10</v>
      </c>
      <c r="AB37" s="61" t="s">
        <v>10</v>
      </c>
      <c r="AC37" s="72">
        <v>13</v>
      </c>
    </row>
    <row r="38" spans="1:29" x14ac:dyDescent="0.2">
      <c r="A38" s="48" t="s">
        <v>259</v>
      </c>
      <c r="B38" s="183"/>
      <c r="C38" s="37">
        <v>0.01</v>
      </c>
      <c r="D38" s="36">
        <v>0.1</v>
      </c>
      <c r="E38" s="37">
        <v>0.1</v>
      </c>
      <c r="F38" s="38">
        <v>0.1</v>
      </c>
      <c r="G38" s="64">
        <v>0.27</v>
      </c>
      <c r="H38" s="64">
        <v>0.34</v>
      </c>
      <c r="I38" s="38">
        <v>0.1</v>
      </c>
      <c r="J38" s="64">
        <v>0.49</v>
      </c>
      <c r="K38" s="38">
        <v>0.1</v>
      </c>
      <c r="L38" s="38">
        <v>0.1</v>
      </c>
      <c r="M38" s="38">
        <v>0.1</v>
      </c>
      <c r="N38" s="64">
        <v>0.55000000000000004</v>
      </c>
      <c r="O38" s="73">
        <v>0.4</v>
      </c>
      <c r="P38" s="74">
        <v>0.54</v>
      </c>
      <c r="Q38" s="36">
        <v>0.1</v>
      </c>
      <c r="R38" s="37">
        <v>0.1</v>
      </c>
      <c r="S38" s="38">
        <v>0.1</v>
      </c>
      <c r="T38" s="38">
        <v>0.1</v>
      </c>
      <c r="U38" s="38">
        <v>0.1</v>
      </c>
      <c r="V38" s="38">
        <v>0.1</v>
      </c>
      <c r="W38" s="38"/>
      <c r="X38" s="38"/>
      <c r="Y38" s="38"/>
      <c r="Z38" s="71">
        <v>0.2</v>
      </c>
      <c r="AA38" s="61" t="s">
        <v>10</v>
      </c>
      <c r="AB38" s="61" t="s">
        <v>10</v>
      </c>
      <c r="AC38" s="72">
        <v>0.06</v>
      </c>
    </row>
    <row r="39" spans="1:29" ht="13.5" thickBot="1" x14ac:dyDescent="0.25">
      <c r="A39" s="50" t="s">
        <v>260</v>
      </c>
      <c r="B39" s="184"/>
      <c r="C39" s="41">
        <v>2E-3</v>
      </c>
      <c r="D39" s="75">
        <v>1.2E-2</v>
      </c>
      <c r="E39" s="76">
        <v>2.1999999999999999E-2</v>
      </c>
      <c r="F39" s="77">
        <v>2.3E-2</v>
      </c>
      <c r="G39" s="77">
        <v>2.1999999999999999E-2</v>
      </c>
      <c r="H39" s="77">
        <v>3.1E-2</v>
      </c>
      <c r="I39" s="77">
        <v>5.3999999999999999E-2</v>
      </c>
      <c r="J39" s="77">
        <v>0.10199999999999999</v>
      </c>
      <c r="K39" s="77">
        <v>0.13300000000000001</v>
      </c>
      <c r="L39" s="77">
        <v>1</v>
      </c>
      <c r="M39" s="77">
        <v>1.29</v>
      </c>
      <c r="N39" s="77">
        <v>2.9000000000000001E-2</v>
      </c>
      <c r="O39" s="75">
        <v>3.7999999999999999E-2</v>
      </c>
      <c r="P39" s="76">
        <v>4.4999999999999998E-2</v>
      </c>
      <c r="Q39" s="75">
        <v>2.7E-2</v>
      </c>
      <c r="R39" s="76">
        <v>2.3E-2</v>
      </c>
      <c r="S39" s="77">
        <v>1.7999999999999999E-2</v>
      </c>
      <c r="T39" s="77">
        <v>2.7E-2</v>
      </c>
      <c r="U39" s="77">
        <v>2.3E-2</v>
      </c>
      <c r="V39" s="77">
        <v>1.0999999999999999E-2</v>
      </c>
      <c r="W39" s="77"/>
      <c r="X39" s="77"/>
      <c r="Y39" s="77"/>
      <c r="Z39" s="78" t="s">
        <v>10</v>
      </c>
      <c r="AA39" s="79" t="s">
        <v>10</v>
      </c>
      <c r="AB39" s="79" t="s">
        <v>10</v>
      </c>
      <c r="AC39" s="80" t="s">
        <v>10</v>
      </c>
    </row>
    <row r="40" spans="1:29" ht="13.5" thickBot="1" x14ac:dyDescent="0.25">
      <c r="A40" s="188" t="s">
        <v>261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</row>
    <row r="41" spans="1:29" x14ac:dyDescent="0.2">
      <c r="A41" s="44" t="s">
        <v>262</v>
      </c>
      <c r="B41" s="182" t="s">
        <v>234</v>
      </c>
      <c r="C41" s="46">
        <v>5.0000000000000001E-3</v>
      </c>
      <c r="D41" s="81">
        <v>8.1000000000000003E-2</v>
      </c>
      <c r="E41" s="82">
        <v>8.5999999999999993E-2</v>
      </c>
      <c r="F41" s="83">
        <v>2.8000000000000001E-2</v>
      </c>
      <c r="G41" s="83">
        <v>5.0000000000000001E-3</v>
      </c>
      <c r="H41" s="83">
        <v>0.04</v>
      </c>
      <c r="I41" s="83">
        <v>1.2999999999999999E-2</v>
      </c>
      <c r="J41" s="83">
        <v>6.6000000000000003E-2</v>
      </c>
      <c r="K41" s="83">
        <v>5.0000000000000001E-3</v>
      </c>
      <c r="L41" s="83">
        <v>5.0000000000000001E-3</v>
      </c>
      <c r="M41" s="83">
        <v>7.0000000000000001E-3</v>
      </c>
      <c r="N41" s="83">
        <v>5.0000000000000001E-3</v>
      </c>
      <c r="O41" s="81">
        <v>5.0000000000000001E-3</v>
      </c>
      <c r="P41" s="82">
        <v>5.0000000000000001E-3</v>
      </c>
      <c r="Q41" s="81">
        <v>4.2000000000000003E-2</v>
      </c>
      <c r="R41" s="84">
        <v>0.47899999999999998</v>
      </c>
      <c r="S41" s="85">
        <v>0.16500000000000001</v>
      </c>
      <c r="T41" s="85">
        <v>0.112</v>
      </c>
      <c r="U41" s="83">
        <v>2.3E-2</v>
      </c>
      <c r="V41" s="83">
        <v>3.1E-2</v>
      </c>
      <c r="W41" s="83">
        <v>5.0000000000000001E-3</v>
      </c>
      <c r="X41" s="83">
        <v>5.0000000000000001E-3</v>
      </c>
      <c r="Y41" s="83">
        <v>5.0000000000000001E-3</v>
      </c>
      <c r="Z41" s="86" t="s">
        <v>10</v>
      </c>
      <c r="AA41" s="58" t="s">
        <v>10</v>
      </c>
      <c r="AB41" s="58" t="s">
        <v>10</v>
      </c>
      <c r="AC41" s="59">
        <v>0.1</v>
      </c>
    </row>
    <row r="42" spans="1:29" x14ac:dyDescent="0.2">
      <c r="A42" s="48" t="s">
        <v>263</v>
      </c>
      <c r="B42" s="183"/>
      <c r="C42" s="37">
        <v>2.0000000000000001E-4</v>
      </c>
      <c r="D42" s="87">
        <v>1.8E-3</v>
      </c>
      <c r="E42" s="88">
        <v>1.8E-3</v>
      </c>
      <c r="F42" s="89">
        <v>5.0000000000000001E-4</v>
      </c>
      <c r="G42" s="89">
        <v>1.4E-3</v>
      </c>
      <c r="H42" s="89">
        <v>5.9999999999999995E-4</v>
      </c>
      <c r="I42" s="89">
        <v>2.0000000000000001E-4</v>
      </c>
      <c r="J42" s="89">
        <v>5.9999999999999995E-4</v>
      </c>
      <c r="K42" s="89">
        <v>4.4000000000000003E-3</v>
      </c>
      <c r="L42" s="90">
        <v>0.75700000000000001</v>
      </c>
      <c r="M42" s="90">
        <v>0.47</v>
      </c>
      <c r="N42" s="89">
        <v>1.1999999999999999E-3</v>
      </c>
      <c r="O42" s="87">
        <v>5.0000000000000001E-4</v>
      </c>
      <c r="P42" s="88">
        <v>2.0000000000000001E-4</v>
      </c>
      <c r="Q42" s="87">
        <v>4.0000000000000002E-4</v>
      </c>
      <c r="R42" s="88">
        <v>2.0000000000000001E-4</v>
      </c>
      <c r="S42" s="89">
        <v>4.0000000000000002E-4</v>
      </c>
      <c r="T42" s="89">
        <v>2.0000000000000001E-4</v>
      </c>
      <c r="U42" s="89">
        <v>5.0000000000000001E-4</v>
      </c>
      <c r="V42" s="89">
        <v>2.9999999999999997E-4</v>
      </c>
      <c r="W42" s="89">
        <v>2.0000000000000001E-4</v>
      </c>
      <c r="X42" s="89">
        <v>2.0000000000000001E-4</v>
      </c>
      <c r="Y42" s="89">
        <v>2.0000000000000001E-4</v>
      </c>
      <c r="Z42" s="71">
        <v>0.2</v>
      </c>
      <c r="AA42" s="61" t="s">
        <v>10</v>
      </c>
      <c r="AB42" s="61" t="s">
        <v>10</v>
      </c>
      <c r="AC42" s="72" t="s">
        <v>255</v>
      </c>
    </row>
    <row r="43" spans="1:29" x14ac:dyDescent="0.2">
      <c r="A43" s="48" t="s">
        <v>264</v>
      </c>
      <c r="B43" s="183"/>
      <c r="C43" s="37">
        <v>2.0000000000000001E-4</v>
      </c>
      <c r="D43" s="91">
        <v>4.7000000000000002E-3</v>
      </c>
      <c r="E43" s="92">
        <v>3.3E-3</v>
      </c>
      <c r="F43" s="100">
        <v>1.0999999999999999E-2</v>
      </c>
      <c r="G43" s="93">
        <v>2.0000000000000001E-4</v>
      </c>
      <c r="H43" s="100">
        <v>1.5599999999999999E-2</v>
      </c>
      <c r="I43" s="100">
        <v>1.21E-2</v>
      </c>
      <c r="J43" s="94">
        <v>0.105</v>
      </c>
      <c r="K43" s="95">
        <v>15.5</v>
      </c>
      <c r="L43" s="95">
        <v>3.65</v>
      </c>
      <c r="M43" s="95">
        <v>3.69</v>
      </c>
      <c r="N43" s="100">
        <v>1.7899999999999999E-2</v>
      </c>
      <c r="O43" s="96">
        <v>5.5199999999999999E-2</v>
      </c>
      <c r="P43" s="97">
        <v>5.3100000000000001E-2</v>
      </c>
      <c r="Q43" s="130">
        <v>1.9300000000000001E-2</v>
      </c>
      <c r="R43" s="98">
        <v>0.02</v>
      </c>
      <c r="S43" s="100">
        <v>2.1299999999999999E-2</v>
      </c>
      <c r="T43" s="99">
        <v>2E-3</v>
      </c>
      <c r="U43" s="100">
        <v>3.9199999999999999E-2</v>
      </c>
      <c r="V43" s="93">
        <v>3.8999999999999998E-3</v>
      </c>
      <c r="W43" s="93">
        <v>2.0000000000000001E-4</v>
      </c>
      <c r="X43" s="93">
        <v>2.0000000000000001E-4</v>
      </c>
      <c r="Y43" s="93">
        <v>2.0000000000000001E-4</v>
      </c>
      <c r="Z43" s="71">
        <v>0.05</v>
      </c>
      <c r="AA43" s="101">
        <v>0.5</v>
      </c>
      <c r="AB43" s="102">
        <v>1</v>
      </c>
      <c r="AC43" s="72">
        <v>5.0000000000000001E-3</v>
      </c>
    </row>
    <row r="44" spans="1:29" x14ac:dyDescent="0.2">
      <c r="A44" s="48" t="s">
        <v>265</v>
      </c>
      <c r="B44" s="183"/>
      <c r="C44" s="37">
        <v>1E-3</v>
      </c>
      <c r="D44" s="87">
        <v>4.3999999999999997E-2</v>
      </c>
      <c r="E44" s="88">
        <v>4.3999999999999997E-2</v>
      </c>
      <c r="F44" s="89">
        <v>4.5999999999999999E-2</v>
      </c>
      <c r="G44" s="89">
        <v>0.158</v>
      </c>
      <c r="H44" s="89">
        <v>6.9000000000000006E-2</v>
      </c>
      <c r="I44" s="89">
        <v>8.5999999999999993E-2</v>
      </c>
      <c r="J44" s="89">
        <v>0.14699999999999999</v>
      </c>
      <c r="K44" s="89">
        <v>8.0000000000000002E-3</v>
      </c>
      <c r="L44" s="89">
        <v>8.9999999999999993E-3</v>
      </c>
      <c r="M44" s="89">
        <v>5.0000000000000001E-3</v>
      </c>
      <c r="N44" s="89">
        <v>8.0000000000000002E-3</v>
      </c>
      <c r="O44" s="87">
        <v>7.0000000000000001E-3</v>
      </c>
      <c r="P44" s="88">
        <v>7.0000000000000001E-3</v>
      </c>
      <c r="Q44" s="87">
        <v>8.4000000000000005E-2</v>
      </c>
      <c r="R44" s="88">
        <v>0.104</v>
      </c>
      <c r="S44" s="89">
        <v>0.14599999999999999</v>
      </c>
      <c r="T44" s="89">
        <v>0.14099999999999999</v>
      </c>
      <c r="U44" s="89">
        <v>6.7000000000000004E-2</v>
      </c>
      <c r="V44" s="89">
        <v>5.0999999999999997E-2</v>
      </c>
      <c r="W44" s="89">
        <v>1E-3</v>
      </c>
      <c r="X44" s="89">
        <v>1E-3</v>
      </c>
      <c r="Y44" s="89">
        <v>1E-3</v>
      </c>
      <c r="Z44" s="71">
        <v>10</v>
      </c>
      <c r="AA44" s="61" t="s">
        <v>10</v>
      </c>
      <c r="AB44" s="61" t="s">
        <v>10</v>
      </c>
      <c r="AC44" s="72" t="s">
        <v>255</v>
      </c>
    </row>
    <row r="45" spans="1:29" x14ac:dyDescent="0.2">
      <c r="A45" s="48" t="s">
        <v>266</v>
      </c>
      <c r="B45" s="183"/>
      <c r="C45" s="37">
        <v>4.0000000000000003E-5</v>
      </c>
      <c r="D45" s="87">
        <v>4.0000000000000003E-5</v>
      </c>
      <c r="E45" s="88">
        <v>4.0000000000000003E-5</v>
      </c>
      <c r="F45" s="89">
        <v>4.0000000000000003E-5</v>
      </c>
      <c r="G45" s="89">
        <v>4.0000000000000003E-5</v>
      </c>
      <c r="H45" s="89">
        <v>4.0000000000000003E-5</v>
      </c>
      <c r="I45" s="89">
        <v>4.0000000000000003E-5</v>
      </c>
      <c r="J45" s="89">
        <v>4.0000000000000003E-5</v>
      </c>
      <c r="K45" s="89">
        <v>4.0000000000000003E-5</v>
      </c>
      <c r="L45" s="89">
        <v>4.0000000000000003E-5</v>
      </c>
      <c r="M45" s="89">
        <v>4.0000000000000003E-5</v>
      </c>
      <c r="N45" s="89">
        <v>4.0000000000000003E-5</v>
      </c>
      <c r="O45" s="87">
        <v>4.0000000000000003E-5</v>
      </c>
      <c r="P45" s="88">
        <v>4.0000000000000003E-5</v>
      </c>
      <c r="Q45" s="87">
        <v>4.0000000000000003E-5</v>
      </c>
      <c r="R45" s="88">
        <v>4.0000000000000003E-5</v>
      </c>
      <c r="S45" s="89">
        <v>4.0000000000000003E-5</v>
      </c>
      <c r="T45" s="89">
        <v>4.0000000000000003E-5</v>
      </c>
      <c r="U45" s="89">
        <v>4.0000000000000003E-5</v>
      </c>
      <c r="V45" s="89">
        <v>4.0000000000000003E-5</v>
      </c>
      <c r="W45" s="103">
        <v>4.0000000000000003E-5</v>
      </c>
      <c r="X45" s="103">
        <v>4.0000000000000003E-5</v>
      </c>
      <c r="Y45" s="103">
        <v>4.0000000000000003E-5</v>
      </c>
      <c r="Z45" s="71">
        <v>5.2999999999999999E-2</v>
      </c>
      <c r="AA45" s="61" t="s">
        <v>10</v>
      </c>
      <c r="AB45" s="61" t="s">
        <v>10</v>
      </c>
      <c r="AC45" s="72" t="s">
        <v>255</v>
      </c>
    </row>
    <row r="46" spans="1:29" x14ac:dyDescent="0.2">
      <c r="A46" s="48" t="s">
        <v>267</v>
      </c>
      <c r="B46" s="183"/>
      <c r="C46" s="37">
        <v>1E-3</v>
      </c>
      <c r="D46" s="87">
        <v>1E-3</v>
      </c>
      <c r="E46" s="88">
        <v>1E-3</v>
      </c>
      <c r="F46" s="89">
        <v>1E-3</v>
      </c>
      <c r="G46" s="89">
        <v>1E-3</v>
      </c>
      <c r="H46" s="89">
        <v>1E-3</v>
      </c>
      <c r="I46" s="89">
        <v>1E-3</v>
      </c>
      <c r="J46" s="89">
        <v>1E-3</v>
      </c>
      <c r="K46" s="89">
        <v>1E-3</v>
      </c>
      <c r="L46" s="89">
        <v>1E-3</v>
      </c>
      <c r="M46" s="89">
        <v>1E-3</v>
      </c>
      <c r="N46" s="89">
        <v>1E-3</v>
      </c>
      <c r="O46" s="87">
        <v>1E-3</v>
      </c>
      <c r="P46" s="88">
        <v>1E-3</v>
      </c>
      <c r="Q46" s="87">
        <v>1E-3</v>
      </c>
      <c r="R46" s="88">
        <v>1E-3</v>
      </c>
      <c r="S46" s="89">
        <v>1E-3</v>
      </c>
      <c r="T46" s="89">
        <v>1E-3</v>
      </c>
      <c r="U46" s="89">
        <v>1E-3</v>
      </c>
      <c r="V46" s="89">
        <v>1E-3</v>
      </c>
      <c r="W46" s="89">
        <v>1E-3</v>
      </c>
      <c r="X46" s="89">
        <v>1E-3</v>
      </c>
      <c r="Y46" s="89">
        <v>1E-3</v>
      </c>
      <c r="Z46" s="60" t="s">
        <v>10</v>
      </c>
      <c r="AA46" s="61" t="s">
        <v>10</v>
      </c>
      <c r="AB46" s="61" t="s">
        <v>10</v>
      </c>
      <c r="AC46" s="72" t="s">
        <v>255</v>
      </c>
    </row>
    <row r="47" spans="1:29" x14ac:dyDescent="0.2">
      <c r="A47" s="48" t="s">
        <v>268</v>
      </c>
      <c r="B47" s="183"/>
      <c r="C47" s="37">
        <v>4.0000000000000001E-3</v>
      </c>
      <c r="D47" s="87">
        <v>5.0000000000000001E-3</v>
      </c>
      <c r="E47" s="88">
        <v>5.0000000000000001E-3</v>
      </c>
      <c r="F47" s="89">
        <v>5.0000000000000001E-3</v>
      </c>
      <c r="G47" s="89">
        <v>0.03</v>
      </c>
      <c r="H47" s="89">
        <v>7.9000000000000001E-2</v>
      </c>
      <c r="I47" s="89">
        <v>6.0000000000000001E-3</v>
      </c>
      <c r="J47" s="89">
        <v>7.1999999999999995E-2</v>
      </c>
      <c r="K47" s="89">
        <v>3.2000000000000001E-2</v>
      </c>
      <c r="L47" s="89">
        <v>0.157</v>
      </c>
      <c r="M47" s="89">
        <v>0.23100000000000001</v>
      </c>
      <c r="N47" s="89">
        <v>0.51300000000000001</v>
      </c>
      <c r="O47" s="87">
        <v>2.4E-2</v>
      </c>
      <c r="P47" s="88">
        <v>2.1000000000000001E-2</v>
      </c>
      <c r="Q47" s="87">
        <v>2.1999999999999999E-2</v>
      </c>
      <c r="R47" s="88">
        <v>2.3E-2</v>
      </c>
      <c r="S47" s="89">
        <v>0.105</v>
      </c>
      <c r="T47" s="89">
        <v>1.9E-2</v>
      </c>
      <c r="U47" s="89">
        <v>8.2000000000000003E-2</v>
      </c>
      <c r="V47" s="89">
        <v>2.5000000000000001E-2</v>
      </c>
      <c r="W47" s="89">
        <v>5.0000000000000001E-3</v>
      </c>
      <c r="X47" s="89">
        <v>5.0000000000000001E-3</v>
      </c>
      <c r="Y47" s="89">
        <v>5.0000000000000001E-3</v>
      </c>
      <c r="Z47" s="60">
        <v>50</v>
      </c>
      <c r="AA47" s="61" t="s">
        <v>10</v>
      </c>
      <c r="AB47" s="61" t="s">
        <v>10</v>
      </c>
      <c r="AC47" s="72">
        <v>1.5</v>
      </c>
    </row>
    <row r="48" spans="1:29" ht="14.25" x14ac:dyDescent="0.2">
      <c r="A48" s="48" t="s">
        <v>269</v>
      </c>
      <c r="B48" s="183"/>
      <c r="C48" s="37">
        <v>1.0000000000000001E-5</v>
      </c>
      <c r="D48" s="104">
        <v>1.1E-4</v>
      </c>
      <c r="E48" s="105">
        <v>1.2999999999999999E-4</v>
      </c>
      <c r="F48" s="103">
        <v>4.0000000000000003E-5</v>
      </c>
      <c r="G48" s="103">
        <v>1.1E-4</v>
      </c>
      <c r="H48" s="103">
        <v>6.9999999999999994E-5</v>
      </c>
      <c r="I48" s="103">
        <v>2.0000000000000002E-5</v>
      </c>
      <c r="J48" s="103">
        <v>5.0000000000000002E-5</v>
      </c>
      <c r="K48" s="106">
        <v>9.5E-4</v>
      </c>
      <c r="L48" s="103">
        <v>2.0000000000000002E-5</v>
      </c>
      <c r="M48" s="103">
        <v>5.0000000000000002E-5</v>
      </c>
      <c r="N48" s="103">
        <v>1.0000000000000001E-5</v>
      </c>
      <c r="O48" s="107">
        <v>4.0000000000000003E-5</v>
      </c>
      <c r="P48" s="108">
        <v>6.0000000000000002E-5</v>
      </c>
      <c r="Q48" s="107">
        <v>4.0000000000000003E-5</v>
      </c>
      <c r="R48" s="108">
        <v>5.0000000000000002E-5</v>
      </c>
      <c r="S48" s="100">
        <v>2.9999999999999997E-4</v>
      </c>
      <c r="T48" s="103">
        <v>6.0000000000000002E-5</v>
      </c>
      <c r="U48" s="106">
        <v>6.0999999999999997E-4</v>
      </c>
      <c r="V48" s="109">
        <v>2.7E-4</v>
      </c>
      <c r="W48" s="103">
        <v>1.0000000000000001E-5</v>
      </c>
      <c r="X48" s="103">
        <v>1.0000000000000001E-5</v>
      </c>
      <c r="Y48" s="103">
        <v>1.0000000000000001E-5</v>
      </c>
      <c r="Z48" s="71" t="s">
        <v>270</v>
      </c>
      <c r="AA48" s="61" t="s">
        <v>10</v>
      </c>
      <c r="AB48" s="61" t="s">
        <v>10</v>
      </c>
      <c r="AC48" s="72" t="s">
        <v>271</v>
      </c>
    </row>
    <row r="49" spans="1:29" x14ac:dyDescent="0.2">
      <c r="A49" s="48" t="s">
        <v>272</v>
      </c>
      <c r="B49" s="183"/>
      <c r="C49" s="37">
        <v>0.01</v>
      </c>
      <c r="D49" s="87">
        <v>15.6</v>
      </c>
      <c r="E49" s="88">
        <v>13.2</v>
      </c>
      <c r="F49" s="89">
        <v>52.6</v>
      </c>
      <c r="G49" s="89">
        <v>206</v>
      </c>
      <c r="H49" s="89">
        <v>360</v>
      </c>
      <c r="I49" s="89">
        <v>176</v>
      </c>
      <c r="J49" s="89">
        <v>324</v>
      </c>
      <c r="K49" s="89">
        <v>478</v>
      </c>
      <c r="L49" s="89">
        <v>505</v>
      </c>
      <c r="M49" s="89">
        <v>504</v>
      </c>
      <c r="N49" s="89">
        <v>225</v>
      </c>
      <c r="O49" s="87">
        <v>235</v>
      </c>
      <c r="P49" s="88">
        <v>291</v>
      </c>
      <c r="Q49" s="87">
        <v>109</v>
      </c>
      <c r="R49" s="88">
        <v>90.1</v>
      </c>
      <c r="S49" s="89">
        <v>410</v>
      </c>
      <c r="T49" s="89">
        <v>176</v>
      </c>
      <c r="U49" s="89">
        <v>246</v>
      </c>
      <c r="V49" s="89">
        <v>99.7</v>
      </c>
      <c r="W49" s="89">
        <v>0.05</v>
      </c>
      <c r="X49" s="89">
        <v>0.05</v>
      </c>
      <c r="Y49" s="89">
        <v>0.05</v>
      </c>
      <c r="Z49" s="60" t="s">
        <v>10</v>
      </c>
      <c r="AA49" s="61" t="s">
        <v>10</v>
      </c>
      <c r="AB49" s="61" t="s">
        <v>10</v>
      </c>
      <c r="AC49" s="72" t="s">
        <v>255</v>
      </c>
    </row>
    <row r="50" spans="1:29" ht="14.25" x14ac:dyDescent="0.2">
      <c r="A50" s="48" t="s">
        <v>273</v>
      </c>
      <c r="B50" s="183"/>
      <c r="C50" s="37">
        <v>4.0000000000000002E-4</v>
      </c>
      <c r="D50" s="87">
        <v>4.0000000000000002E-4</v>
      </c>
      <c r="E50" s="88">
        <v>4.0000000000000002E-4</v>
      </c>
      <c r="F50" s="89">
        <v>4.0000000000000002E-4</v>
      </c>
      <c r="G50" s="89">
        <v>5.0000000000000001E-4</v>
      </c>
      <c r="H50" s="89">
        <v>1.4E-3</v>
      </c>
      <c r="I50" s="89">
        <v>4.0000000000000002E-4</v>
      </c>
      <c r="J50" s="89">
        <v>2.8999999999999998E-3</v>
      </c>
      <c r="K50" s="89">
        <v>4.0000000000000002E-4</v>
      </c>
      <c r="L50" s="89">
        <v>4.0000000000000002E-4</v>
      </c>
      <c r="M50" s="89">
        <v>4.0000000000000002E-4</v>
      </c>
      <c r="N50" s="89">
        <v>4.0000000000000002E-4</v>
      </c>
      <c r="O50" s="87">
        <v>4.0000000000000002E-4</v>
      </c>
      <c r="P50" s="88">
        <v>4.0000000000000002E-4</v>
      </c>
      <c r="Q50" s="87">
        <v>2.2000000000000001E-3</v>
      </c>
      <c r="R50" s="88">
        <v>2.5999999999999999E-3</v>
      </c>
      <c r="S50" s="89">
        <v>2E-3</v>
      </c>
      <c r="T50" s="89">
        <v>6.9999999999999999E-4</v>
      </c>
      <c r="U50" s="89">
        <v>5.0000000000000001E-4</v>
      </c>
      <c r="V50" s="89">
        <v>4.0000000000000002E-4</v>
      </c>
      <c r="W50" s="89">
        <v>4.0000000000000002E-4</v>
      </c>
      <c r="X50" s="89">
        <v>4.0000000000000002E-4</v>
      </c>
      <c r="Y50" s="89">
        <v>4.0000000000000002E-4</v>
      </c>
      <c r="Z50" s="71">
        <v>0.01</v>
      </c>
      <c r="AA50" s="61" t="s">
        <v>10</v>
      </c>
      <c r="AB50" s="61" t="s">
        <v>10</v>
      </c>
      <c r="AC50" s="72" t="s">
        <v>274</v>
      </c>
    </row>
    <row r="51" spans="1:29" x14ac:dyDescent="0.2">
      <c r="A51" s="48" t="s">
        <v>275</v>
      </c>
      <c r="B51" s="183"/>
      <c r="C51" s="37">
        <v>2.0000000000000002E-5</v>
      </c>
      <c r="D51" s="87">
        <v>9.7999999999999997E-4</v>
      </c>
      <c r="E51" s="88">
        <v>1E-3</v>
      </c>
      <c r="F51" s="89">
        <v>1.0399999999999999E-3</v>
      </c>
      <c r="G51" s="89">
        <v>7.7999999999999999E-4</v>
      </c>
      <c r="H51" s="89">
        <v>2.1499999999999998E-2</v>
      </c>
      <c r="I51" s="89">
        <v>6.8999999999999997E-4</v>
      </c>
      <c r="J51" s="89">
        <v>8.8500000000000002E-3</v>
      </c>
      <c r="K51" s="89">
        <v>1.3100000000000001E-2</v>
      </c>
      <c r="L51" s="89">
        <v>1.97E-3</v>
      </c>
      <c r="M51" s="89">
        <v>1.9499999999999999E-3</v>
      </c>
      <c r="N51" s="89">
        <v>4.8000000000000001E-4</v>
      </c>
      <c r="O51" s="87">
        <v>4.2000000000000002E-4</v>
      </c>
      <c r="P51" s="88">
        <v>4.0999999999999999E-4</v>
      </c>
      <c r="Q51" s="87">
        <v>7.11E-3</v>
      </c>
      <c r="R51" s="88">
        <v>6.4000000000000003E-3</v>
      </c>
      <c r="S51" s="89">
        <v>1.8700000000000001E-2</v>
      </c>
      <c r="T51" s="89">
        <v>1.1299999999999999E-3</v>
      </c>
      <c r="U51" s="89">
        <v>8.9700000000000005E-3</v>
      </c>
      <c r="V51" s="89">
        <v>2.99E-3</v>
      </c>
      <c r="W51" s="89">
        <v>2.0000000000000002E-5</v>
      </c>
      <c r="X51" s="89">
        <v>2.0000000000000002E-5</v>
      </c>
      <c r="Y51" s="89">
        <v>2.0000000000000002E-5</v>
      </c>
      <c r="Z51" s="71">
        <v>8.9999999999999993E-3</v>
      </c>
      <c r="AA51" s="61" t="s">
        <v>10</v>
      </c>
      <c r="AB51" s="61" t="s">
        <v>10</v>
      </c>
      <c r="AC51" s="72" t="s">
        <v>255</v>
      </c>
    </row>
    <row r="52" spans="1:29" ht="14.25" x14ac:dyDescent="0.2">
      <c r="A52" s="48" t="s">
        <v>276</v>
      </c>
      <c r="B52" s="183"/>
      <c r="C52" s="37">
        <v>1E-3</v>
      </c>
      <c r="D52" s="110">
        <v>2E-3</v>
      </c>
      <c r="E52" s="111">
        <v>3.0000000000000001E-3</v>
      </c>
      <c r="F52" s="89">
        <v>1E-3</v>
      </c>
      <c r="G52" s="89">
        <v>3.0000000000000001E-3</v>
      </c>
      <c r="H52" s="89">
        <v>2E-3</v>
      </c>
      <c r="I52" s="89">
        <v>1E-3</v>
      </c>
      <c r="J52" s="89">
        <v>2E-3</v>
      </c>
      <c r="K52" s="89">
        <v>2E-3</v>
      </c>
      <c r="L52" s="89">
        <v>2E-3</v>
      </c>
      <c r="M52" s="89">
        <v>1E-3</v>
      </c>
      <c r="N52" s="89">
        <v>1E-3</v>
      </c>
      <c r="O52" s="87">
        <v>1E-3</v>
      </c>
      <c r="P52" s="88">
        <v>1E-3</v>
      </c>
      <c r="Q52" s="87">
        <v>4.0000000000000001E-3</v>
      </c>
      <c r="R52" s="111">
        <v>7.0000000000000001E-3</v>
      </c>
      <c r="S52" s="89">
        <v>4.0000000000000001E-3</v>
      </c>
      <c r="T52" s="89">
        <v>8.9999999999999993E-3</v>
      </c>
      <c r="U52" s="89">
        <v>6.0000000000000001E-3</v>
      </c>
      <c r="V52" s="89">
        <v>5.0000000000000001E-3</v>
      </c>
      <c r="W52" s="89">
        <v>1E-3</v>
      </c>
      <c r="X52" s="89">
        <v>1E-3</v>
      </c>
      <c r="Y52" s="89">
        <v>1E-3</v>
      </c>
      <c r="Z52" s="71" t="s">
        <v>277</v>
      </c>
      <c r="AA52" s="101">
        <v>0.3</v>
      </c>
      <c r="AB52" s="102">
        <v>0.6</v>
      </c>
      <c r="AC52" s="72" t="s">
        <v>278</v>
      </c>
    </row>
    <row r="53" spans="1:29" x14ac:dyDescent="0.2">
      <c r="A53" s="48" t="s">
        <v>279</v>
      </c>
      <c r="B53" s="183"/>
      <c r="C53" s="37">
        <v>0.01</v>
      </c>
      <c r="D53" s="87">
        <v>0.223</v>
      </c>
      <c r="E53" s="88">
        <v>0.13400000000000001</v>
      </c>
      <c r="F53" s="112">
        <v>1.1200000000000001</v>
      </c>
      <c r="G53" s="89">
        <v>5.0000000000000001E-3</v>
      </c>
      <c r="H53" s="112">
        <v>65</v>
      </c>
      <c r="I53" s="89">
        <v>8.0000000000000002E-3</v>
      </c>
      <c r="J53" s="112">
        <v>29.5</v>
      </c>
      <c r="K53" s="112">
        <v>27.6</v>
      </c>
      <c r="L53" s="89">
        <v>1.2E-2</v>
      </c>
      <c r="M53" s="89">
        <v>2.4E-2</v>
      </c>
      <c r="N53" s="89">
        <v>8.0000000000000002E-3</v>
      </c>
      <c r="O53" s="87">
        <v>1.9E-2</v>
      </c>
      <c r="P53" s="88">
        <v>5.0000000000000001E-3</v>
      </c>
      <c r="Q53" s="110">
        <v>13.5</v>
      </c>
      <c r="R53" s="111">
        <v>21</v>
      </c>
      <c r="S53" s="112">
        <v>13.5</v>
      </c>
      <c r="T53" s="89">
        <v>2.8000000000000001E-2</v>
      </c>
      <c r="U53" s="112">
        <v>9.06</v>
      </c>
      <c r="V53" s="89">
        <v>0.15</v>
      </c>
      <c r="W53" s="89">
        <v>0.01</v>
      </c>
      <c r="X53" s="89">
        <v>0.01</v>
      </c>
      <c r="Y53" s="89">
        <v>0.01</v>
      </c>
      <c r="Z53" s="60" t="s">
        <v>10</v>
      </c>
      <c r="AA53" s="61" t="s">
        <v>10</v>
      </c>
      <c r="AB53" s="61" t="s">
        <v>10</v>
      </c>
      <c r="AC53" s="72">
        <v>0.3</v>
      </c>
    </row>
    <row r="54" spans="1:29" ht="14.25" x14ac:dyDescent="0.2">
      <c r="A54" s="48" t="s">
        <v>280</v>
      </c>
      <c r="B54" s="183"/>
      <c r="C54" s="37">
        <v>1E-4</v>
      </c>
      <c r="D54" s="87">
        <v>2.9999999999999997E-4</v>
      </c>
      <c r="E54" s="88">
        <v>4.0000000000000002E-4</v>
      </c>
      <c r="F54" s="89">
        <v>2.9999999999999997E-4</v>
      </c>
      <c r="G54" s="89">
        <v>1E-4</v>
      </c>
      <c r="H54" s="89">
        <v>2.9999999999999997E-4</v>
      </c>
      <c r="I54" s="89">
        <v>5.0000000000000001E-4</v>
      </c>
      <c r="J54" s="89">
        <v>1.1999999999999999E-3</v>
      </c>
      <c r="K54" s="89">
        <v>3.0999999999999999E-3</v>
      </c>
      <c r="L54" s="89">
        <v>2.0000000000000001E-4</v>
      </c>
      <c r="M54" s="89">
        <v>1.6999999999999999E-3</v>
      </c>
      <c r="N54" s="89">
        <v>1E-4</v>
      </c>
      <c r="O54" s="87">
        <v>1E-4</v>
      </c>
      <c r="P54" s="88">
        <v>1E-4</v>
      </c>
      <c r="Q54" s="87">
        <v>5.0000000000000001E-4</v>
      </c>
      <c r="R54" s="88">
        <v>1.1999999999999999E-3</v>
      </c>
      <c r="S54" s="89">
        <v>2E-3</v>
      </c>
      <c r="T54" s="89">
        <v>4.0000000000000002E-4</v>
      </c>
      <c r="U54" s="89">
        <v>2.0000000000000001E-4</v>
      </c>
      <c r="V54" s="89">
        <v>2.9999999999999997E-4</v>
      </c>
      <c r="W54" s="89">
        <v>1E-4</v>
      </c>
      <c r="X54" s="89">
        <v>2.0000000000000001E-4</v>
      </c>
      <c r="Y54" s="89">
        <v>1E-4</v>
      </c>
      <c r="Z54" s="71" t="s">
        <v>281</v>
      </c>
      <c r="AA54" s="101">
        <v>0.2</v>
      </c>
      <c r="AB54" s="102">
        <v>0.4</v>
      </c>
      <c r="AC54" s="72" t="s">
        <v>282</v>
      </c>
    </row>
    <row r="55" spans="1:29" x14ac:dyDescent="0.2">
      <c r="A55" s="48" t="s">
        <v>283</v>
      </c>
      <c r="B55" s="183"/>
      <c r="C55" s="37">
        <v>1E-3</v>
      </c>
      <c r="D55" s="87">
        <v>1E-3</v>
      </c>
      <c r="E55" s="88">
        <v>1E-3</v>
      </c>
      <c r="F55" s="89">
        <v>1E-3</v>
      </c>
      <c r="G55" s="89">
        <v>2E-3</v>
      </c>
      <c r="H55" s="89">
        <v>1E-3</v>
      </c>
      <c r="I55" s="89">
        <v>7.0000000000000001E-3</v>
      </c>
      <c r="J55" s="89">
        <v>1E-3</v>
      </c>
      <c r="K55" s="89">
        <v>2.7E-2</v>
      </c>
      <c r="L55" s="89">
        <v>2E-3</v>
      </c>
      <c r="M55" s="89">
        <v>3.0000000000000001E-3</v>
      </c>
      <c r="N55" s="89">
        <v>2.4E-2</v>
      </c>
      <c r="O55" s="87">
        <v>2.1000000000000001E-2</v>
      </c>
      <c r="P55" s="88">
        <v>2.1999999999999999E-2</v>
      </c>
      <c r="Q55" s="87">
        <v>1E-3</v>
      </c>
      <c r="R55" s="88">
        <v>1E-3</v>
      </c>
      <c r="S55" s="89">
        <v>1E-3</v>
      </c>
      <c r="T55" s="89">
        <v>2E-3</v>
      </c>
      <c r="U55" s="89">
        <v>1E-3</v>
      </c>
      <c r="V55" s="89">
        <v>1E-3</v>
      </c>
      <c r="W55" s="89">
        <v>1E-3</v>
      </c>
      <c r="X55" s="89">
        <v>1E-3</v>
      </c>
      <c r="Y55" s="89">
        <v>1E-3</v>
      </c>
      <c r="Z55" s="60" t="s">
        <v>10</v>
      </c>
      <c r="AA55" s="61" t="s">
        <v>10</v>
      </c>
      <c r="AB55" s="61" t="s">
        <v>10</v>
      </c>
      <c r="AC55" s="72" t="s">
        <v>255</v>
      </c>
    </row>
    <row r="56" spans="1:29" x14ac:dyDescent="0.2">
      <c r="A56" s="48" t="s">
        <v>284</v>
      </c>
      <c r="B56" s="183"/>
      <c r="C56" s="37">
        <v>0.05</v>
      </c>
      <c r="D56" s="87">
        <v>4.3</v>
      </c>
      <c r="E56" s="88">
        <v>3.5</v>
      </c>
      <c r="F56" s="89">
        <v>12.1</v>
      </c>
      <c r="G56" s="89">
        <v>50.9</v>
      </c>
      <c r="H56" s="89">
        <v>43.1</v>
      </c>
      <c r="I56" s="89">
        <v>51.6</v>
      </c>
      <c r="J56" s="89">
        <v>49.5</v>
      </c>
      <c r="K56" s="89">
        <v>54.8</v>
      </c>
      <c r="L56" s="89">
        <v>82.7</v>
      </c>
      <c r="M56" s="89">
        <v>61.8</v>
      </c>
      <c r="N56" s="89">
        <v>199</v>
      </c>
      <c r="O56" s="87">
        <v>194</v>
      </c>
      <c r="P56" s="88">
        <v>200</v>
      </c>
      <c r="Q56" s="87">
        <v>9.6999999999999993</v>
      </c>
      <c r="R56" s="88">
        <v>13.6</v>
      </c>
      <c r="S56" s="89">
        <v>55</v>
      </c>
      <c r="T56" s="89">
        <v>33.6</v>
      </c>
      <c r="U56" s="89">
        <v>43.7</v>
      </c>
      <c r="V56" s="89">
        <v>20.3</v>
      </c>
      <c r="W56" s="89">
        <v>0.05</v>
      </c>
      <c r="X56" s="89">
        <v>0.05</v>
      </c>
      <c r="Y56" s="89">
        <v>0.05</v>
      </c>
      <c r="Z56" s="60" t="s">
        <v>10</v>
      </c>
      <c r="AA56" s="61" t="s">
        <v>10</v>
      </c>
      <c r="AB56" s="61" t="s">
        <v>10</v>
      </c>
      <c r="AC56" s="72" t="s">
        <v>255</v>
      </c>
    </row>
    <row r="57" spans="1:29" x14ac:dyDescent="0.2">
      <c r="A57" s="48" t="s">
        <v>285</v>
      </c>
      <c r="B57" s="183"/>
      <c r="C57" s="37">
        <v>1E-3</v>
      </c>
      <c r="D57" s="87">
        <v>0.19400000000000001</v>
      </c>
      <c r="E57" s="88">
        <v>0.16700000000000001</v>
      </c>
      <c r="F57" s="89">
        <v>0.35199999999999998</v>
      </c>
      <c r="G57" s="89">
        <v>1E-3</v>
      </c>
      <c r="H57" s="89">
        <v>12.4</v>
      </c>
      <c r="I57" s="89">
        <v>1.52</v>
      </c>
      <c r="J57" s="89">
        <v>5.73</v>
      </c>
      <c r="K57" s="89">
        <v>31.2</v>
      </c>
      <c r="L57" s="89">
        <v>1.0900000000000001</v>
      </c>
      <c r="M57" s="89">
        <v>1.73</v>
      </c>
      <c r="N57" s="89">
        <v>1E-3</v>
      </c>
      <c r="O57" s="87">
        <v>0.42499999999999999</v>
      </c>
      <c r="P57" s="88">
        <v>0.54800000000000004</v>
      </c>
      <c r="Q57" s="87">
        <v>3.09</v>
      </c>
      <c r="R57" s="88">
        <v>3.13</v>
      </c>
      <c r="S57" s="89">
        <v>13.7</v>
      </c>
      <c r="T57" s="89">
        <v>1E-3</v>
      </c>
      <c r="U57" s="89">
        <v>6.4</v>
      </c>
      <c r="V57" s="89">
        <v>2.33</v>
      </c>
      <c r="W57" s="89">
        <v>5.0000000000000001E-3</v>
      </c>
      <c r="X57" s="89">
        <v>5.0000000000000001E-3</v>
      </c>
      <c r="Y57" s="89">
        <v>5.0000000000000001E-3</v>
      </c>
      <c r="Z57" s="60" t="s">
        <v>10</v>
      </c>
      <c r="AA57" s="61" t="s">
        <v>10</v>
      </c>
      <c r="AB57" s="61" t="s">
        <v>10</v>
      </c>
      <c r="AC57" s="72" t="s">
        <v>255</v>
      </c>
    </row>
    <row r="58" spans="1:29" x14ac:dyDescent="0.2">
      <c r="A58" s="48" t="s">
        <v>286</v>
      </c>
      <c r="B58" s="183"/>
      <c r="C58" s="37">
        <v>1E-4</v>
      </c>
      <c r="D58" s="87">
        <v>1E-4</v>
      </c>
      <c r="E58" s="88">
        <v>1E-4</v>
      </c>
      <c r="F58" s="89">
        <v>1E-4</v>
      </c>
      <c r="G58" s="89">
        <v>1E-4</v>
      </c>
      <c r="H58" s="89">
        <v>2.9999999999999997E-4</v>
      </c>
      <c r="I58" s="89">
        <v>2.0000000000000001E-4</v>
      </c>
      <c r="J58" s="89">
        <v>8.9999999999999998E-4</v>
      </c>
      <c r="K58" s="89">
        <v>5.4000000000000003E-3</v>
      </c>
      <c r="L58" s="89">
        <v>9.4000000000000004E-3</v>
      </c>
      <c r="M58" s="89">
        <v>7.7000000000000002E-3</v>
      </c>
      <c r="N58" s="89">
        <v>1E-4</v>
      </c>
      <c r="O58" s="87">
        <v>1E-4</v>
      </c>
      <c r="P58" s="88">
        <v>1E-4</v>
      </c>
      <c r="Q58" s="87">
        <v>1E-4</v>
      </c>
      <c r="R58" s="88">
        <v>1E-4</v>
      </c>
      <c r="S58" s="89">
        <v>4.5999999999999999E-3</v>
      </c>
      <c r="T58" s="89">
        <v>1E-4</v>
      </c>
      <c r="U58" s="89">
        <v>8.0000000000000004E-4</v>
      </c>
      <c r="V58" s="89">
        <v>2.9999999999999997E-4</v>
      </c>
      <c r="W58" s="89">
        <v>1E-4</v>
      </c>
      <c r="X58" s="89">
        <v>1E-4</v>
      </c>
      <c r="Y58" s="89">
        <v>1E-4</v>
      </c>
      <c r="Z58" s="71">
        <v>10</v>
      </c>
      <c r="AA58" s="61" t="s">
        <v>10</v>
      </c>
      <c r="AB58" s="61" t="s">
        <v>10</v>
      </c>
      <c r="AC58" s="72">
        <v>7.2999999999999995E-2</v>
      </c>
    </row>
    <row r="59" spans="1:29" ht="14.25" x14ac:dyDescent="0.2">
      <c r="A59" s="48" t="s">
        <v>287</v>
      </c>
      <c r="B59" s="183"/>
      <c r="C59" s="37">
        <v>1E-3</v>
      </c>
      <c r="D59" s="87">
        <v>1E-3</v>
      </c>
      <c r="E59" s="88">
        <v>1E-3</v>
      </c>
      <c r="F59" s="89">
        <v>1E-3</v>
      </c>
      <c r="G59" s="89">
        <v>3.0000000000000001E-3</v>
      </c>
      <c r="H59" s="89">
        <v>8.0000000000000002E-3</v>
      </c>
      <c r="I59" s="89">
        <v>2E-3</v>
      </c>
      <c r="J59" s="89">
        <v>4.0000000000000001E-3</v>
      </c>
      <c r="K59" s="89">
        <v>8.0000000000000002E-3</v>
      </c>
      <c r="L59" s="89">
        <v>5.0000000000000001E-3</v>
      </c>
      <c r="M59" s="89">
        <v>6.0000000000000001E-3</v>
      </c>
      <c r="N59" s="89">
        <v>3.0000000000000001E-3</v>
      </c>
      <c r="O59" s="87">
        <v>4.0000000000000001E-3</v>
      </c>
      <c r="P59" s="88">
        <v>4.0000000000000001E-3</v>
      </c>
      <c r="Q59" s="87">
        <v>3.0000000000000001E-3</v>
      </c>
      <c r="R59" s="88">
        <v>3.0000000000000001E-3</v>
      </c>
      <c r="S59" s="89">
        <v>5.0000000000000001E-3</v>
      </c>
      <c r="T59" s="89">
        <v>2E-3</v>
      </c>
      <c r="U59" s="89">
        <v>4.0000000000000001E-3</v>
      </c>
      <c r="V59" s="89">
        <v>2E-3</v>
      </c>
      <c r="W59" s="89">
        <v>1E-3</v>
      </c>
      <c r="X59" s="89">
        <v>1E-3</v>
      </c>
      <c r="Y59" s="89">
        <v>1E-3</v>
      </c>
      <c r="Z59" s="71" t="s">
        <v>288</v>
      </c>
      <c r="AA59" s="101">
        <v>0.5</v>
      </c>
      <c r="AB59" s="102">
        <v>1</v>
      </c>
      <c r="AC59" s="72" t="s">
        <v>289</v>
      </c>
    </row>
    <row r="60" spans="1:29" x14ac:dyDescent="0.2">
      <c r="A60" s="48" t="s">
        <v>290</v>
      </c>
      <c r="B60" s="183"/>
      <c r="C60" s="37">
        <v>0.01</v>
      </c>
      <c r="D60" s="87">
        <v>0.03</v>
      </c>
      <c r="E60" s="88">
        <v>0.02</v>
      </c>
      <c r="F60" s="89">
        <v>0.04</v>
      </c>
      <c r="G60" s="89">
        <v>0.02</v>
      </c>
      <c r="H60" s="89">
        <v>0.04</v>
      </c>
      <c r="I60" s="89">
        <v>0.04</v>
      </c>
      <c r="J60" s="89">
        <v>0.12</v>
      </c>
      <c r="K60" s="89">
        <v>2.2999999999999998</v>
      </c>
      <c r="L60" s="89">
        <v>1.17</v>
      </c>
      <c r="M60" s="89">
        <v>1.2</v>
      </c>
      <c r="N60" s="89">
        <v>0.03</v>
      </c>
      <c r="O60" s="87">
        <v>0.04</v>
      </c>
      <c r="P60" s="88">
        <v>7.0000000000000007E-2</v>
      </c>
      <c r="Q60" s="87">
        <v>0.03</v>
      </c>
      <c r="R60" s="88">
        <v>5.5E-2</v>
      </c>
      <c r="S60" s="89">
        <v>0.04</v>
      </c>
      <c r="T60" s="89">
        <v>0.04</v>
      </c>
      <c r="U60" s="89">
        <v>0.04</v>
      </c>
      <c r="V60" s="89">
        <v>0.01</v>
      </c>
      <c r="W60" s="89">
        <v>0.01</v>
      </c>
      <c r="X60" s="89">
        <v>0.01</v>
      </c>
      <c r="Y60" s="89">
        <v>0.01</v>
      </c>
      <c r="Z60" s="113" t="s">
        <v>10</v>
      </c>
      <c r="AA60" s="114" t="s">
        <v>10</v>
      </c>
      <c r="AB60" s="114" t="s">
        <v>10</v>
      </c>
      <c r="AC60" s="115" t="s">
        <v>291</v>
      </c>
    </row>
    <row r="61" spans="1:29" x14ac:dyDescent="0.2">
      <c r="A61" s="48" t="s">
        <v>292</v>
      </c>
      <c r="B61" s="183"/>
      <c r="C61" s="37">
        <v>0.05</v>
      </c>
      <c r="D61" s="87">
        <v>0.7</v>
      </c>
      <c r="E61" s="88">
        <v>0.8</v>
      </c>
      <c r="F61" s="89">
        <v>2</v>
      </c>
      <c r="G61" s="89">
        <v>3.1</v>
      </c>
      <c r="H61" s="89">
        <v>8.4</v>
      </c>
      <c r="I61" s="89">
        <v>1.5</v>
      </c>
      <c r="J61" s="89">
        <v>8.5</v>
      </c>
      <c r="K61" s="89">
        <v>83</v>
      </c>
      <c r="L61" s="89">
        <v>41</v>
      </c>
      <c r="M61" s="89">
        <v>46</v>
      </c>
      <c r="N61" s="89">
        <v>5.6</v>
      </c>
      <c r="O61" s="87">
        <v>5.5</v>
      </c>
      <c r="P61" s="88">
        <v>6.8</v>
      </c>
      <c r="Q61" s="87">
        <v>3.7</v>
      </c>
      <c r="R61" s="88">
        <v>2.4</v>
      </c>
      <c r="S61" s="89">
        <v>15.8</v>
      </c>
      <c r="T61" s="89">
        <v>2.2000000000000002</v>
      </c>
      <c r="U61" s="89">
        <v>5.7</v>
      </c>
      <c r="V61" s="89">
        <v>2.2999999999999998</v>
      </c>
      <c r="W61" s="89">
        <v>0.1</v>
      </c>
      <c r="X61" s="89">
        <v>0.1</v>
      </c>
      <c r="Y61" s="89">
        <v>0.1</v>
      </c>
      <c r="Z61" s="60" t="s">
        <v>10</v>
      </c>
      <c r="AA61" s="61" t="s">
        <v>10</v>
      </c>
      <c r="AB61" s="61" t="s">
        <v>10</v>
      </c>
      <c r="AC61" s="72" t="s">
        <v>255</v>
      </c>
    </row>
    <row r="62" spans="1:29" x14ac:dyDescent="0.2">
      <c r="A62" s="48" t="s">
        <v>293</v>
      </c>
      <c r="B62" s="183"/>
      <c r="C62" s="37">
        <v>5.9999999999999995E-4</v>
      </c>
      <c r="D62" s="87">
        <v>5.9999999999999995E-4</v>
      </c>
      <c r="E62" s="88">
        <v>5.9999999999999995E-4</v>
      </c>
      <c r="F62" s="89">
        <v>5.9999999999999995E-4</v>
      </c>
      <c r="G62" s="89">
        <v>5.9999999999999995E-4</v>
      </c>
      <c r="H62" s="89">
        <v>8.9999999999999998E-4</v>
      </c>
      <c r="I62" s="89">
        <v>5.9999999999999995E-4</v>
      </c>
      <c r="J62" s="89">
        <v>6.9999999999999999E-4</v>
      </c>
      <c r="K62" s="89">
        <v>5.9999999999999995E-4</v>
      </c>
      <c r="L62" s="89">
        <v>5.9999999999999995E-4</v>
      </c>
      <c r="M62" s="89">
        <v>5.9999999999999995E-4</v>
      </c>
      <c r="N62" s="112">
        <v>1.5E-3</v>
      </c>
      <c r="O62" s="110">
        <v>1.2999999999999999E-3</v>
      </c>
      <c r="P62" s="111">
        <v>1.1000000000000001E-3</v>
      </c>
      <c r="Q62" s="87">
        <v>5.9999999999999995E-4</v>
      </c>
      <c r="R62" s="88">
        <v>5.9999999999999995E-4</v>
      </c>
      <c r="S62" s="89">
        <v>5.9999999999999995E-4</v>
      </c>
      <c r="T62" s="89">
        <v>5.9999999999999995E-4</v>
      </c>
      <c r="U62" s="89">
        <v>5.9999999999999995E-4</v>
      </c>
      <c r="V62" s="89">
        <v>5.9999999999999995E-4</v>
      </c>
      <c r="W62" s="89">
        <v>5.9999999999999995E-4</v>
      </c>
      <c r="X62" s="89">
        <v>5.9999999999999995E-4</v>
      </c>
      <c r="Y62" s="89">
        <v>5.9999999999999995E-4</v>
      </c>
      <c r="Z62" s="71">
        <v>0.01</v>
      </c>
      <c r="AA62" s="61" t="s">
        <v>10</v>
      </c>
      <c r="AB62" s="61" t="s">
        <v>10</v>
      </c>
      <c r="AC62" s="72">
        <v>1E-3</v>
      </c>
    </row>
    <row r="63" spans="1:29" x14ac:dyDescent="0.2">
      <c r="A63" s="48" t="s">
        <v>294</v>
      </c>
      <c r="B63" s="183"/>
      <c r="C63" s="37">
        <v>0.05</v>
      </c>
      <c r="D63" s="87">
        <v>5.58</v>
      </c>
      <c r="E63" s="88">
        <v>4.6500000000000004</v>
      </c>
      <c r="F63" s="89">
        <v>6.23</v>
      </c>
      <c r="G63" s="89">
        <v>5.58</v>
      </c>
      <c r="H63" s="89">
        <v>7.99</v>
      </c>
      <c r="I63" s="89">
        <v>7.99</v>
      </c>
      <c r="J63" s="89">
        <v>7.11</v>
      </c>
      <c r="K63" s="89">
        <v>5.76</v>
      </c>
      <c r="L63" s="89">
        <v>9.6999999999999993</v>
      </c>
      <c r="M63" s="89">
        <v>7.89</v>
      </c>
      <c r="N63" s="89">
        <v>3.94</v>
      </c>
      <c r="O63" s="87">
        <v>3.52</v>
      </c>
      <c r="P63" s="88">
        <v>4.91</v>
      </c>
      <c r="Q63" s="87">
        <v>6.29</v>
      </c>
      <c r="R63" s="88">
        <v>7.09</v>
      </c>
      <c r="S63" s="89">
        <v>5.44</v>
      </c>
      <c r="T63" s="89">
        <v>5.75</v>
      </c>
      <c r="U63" s="89">
        <v>6.62</v>
      </c>
      <c r="V63" s="89">
        <v>3.51</v>
      </c>
      <c r="W63" s="89">
        <v>0.05</v>
      </c>
      <c r="X63" s="89">
        <v>0.05</v>
      </c>
      <c r="Y63" s="89">
        <v>0.05</v>
      </c>
      <c r="Z63" s="60" t="s">
        <v>10</v>
      </c>
      <c r="AA63" s="61" t="s">
        <v>10</v>
      </c>
      <c r="AB63" s="61" t="s">
        <v>10</v>
      </c>
      <c r="AC63" s="72" t="s">
        <v>255</v>
      </c>
    </row>
    <row r="64" spans="1:29" ht="14.25" x14ac:dyDescent="0.2">
      <c r="A64" s="48" t="s">
        <v>295</v>
      </c>
      <c r="B64" s="183"/>
      <c r="C64" s="37">
        <v>1.0000000000000001E-5</v>
      </c>
      <c r="D64" s="103">
        <v>1.0000000000000001E-5</v>
      </c>
      <c r="E64" s="103">
        <v>1.0000000000000001E-5</v>
      </c>
      <c r="F64" s="103">
        <v>1.0000000000000001E-5</v>
      </c>
      <c r="G64" s="103">
        <v>1.0000000000000001E-5</v>
      </c>
      <c r="H64" s="103">
        <v>1.0000000000000001E-5</v>
      </c>
      <c r="I64" s="103">
        <v>1.0000000000000001E-5</v>
      </c>
      <c r="J64" s="89">
        <v>1.0000000000000001E-5</v>
      </c>
      <c r="K64" s="89">
        <v>1.0000000000000001E-5</v>
      </c>
      <c r="L64" s="89">
        <v>1.0000000000000001E-5</v>
      </c>
      <c r="M64" s="89">
        <v>1.0000000000000001E-5</v>
      </c>
      <c r="N64" s="89">
        <v>1.0000000000000001E-5</v>
      </c>
      <c r="O64" s="87">
        <v>1.0000000000000001E-5</v>
      </c>
      <c r="P64" s="88">
        <v>1.0000000000000001E-5</v>
      </c>
      <c r="Q64" s="87">
        <v>1.0000000000000001E-5</v>
      </c>
      <c r="R64" s="88">
        <v>1.0000000000000001E-5</v>
      </c>
      <c r="S64" s="89">
        <v>2.0000000000000002E-5</v>
      </c>
      <c r="T64" s="89">
        <v>1.0000000000000001E-5</v>
      </c>
      <c r="U64" s="89">
        <v>1.0000000000000001E-5</v>
      </c>
      <c r="V64" s="89">
        <v>1.0000000000000001E-5</v>
      </c>
      <c r="W64" s="89">
        <v>1.0000000000000001E-5</v>
      </c>
      <c r="X64" s="89">
        <v>1.0000000000000001E-5</v>
      </c>
      <c r="Y64" s="89">
        <v>1.0000000000000001E-5</v>
      </c>
      <c r="Z64" s="71" t="s">
        <v>296</v>
      </c>
      <c r="AA64" s="61" t="s">
        <v>10</v>
      </c>
      <c r="AB64" s="61" t="s">
        <v>10</v>
      </c>
      <c r="AC64" s="72">
        <v>1E-4</v>
      </c>
    </row>
    <row r="65" spans="1:29" x14ac:dyDescent="0.2">
      <c r="A65" s="48" t="s">
        <v>297</v>
      </c>
      <c r="B65" s="183"/>
      <c r="C65" s="37">
        <v>0.02</v>
      </c>
      <c r="D65" s="87">
        <v>2.2000000000000002</v>
      </c>
      <c r="E65" s="88">
        <v>1.8</v>
      </c>
      <c r="F65" s="89">
        <v>3.2</v>
      </c>
      <c r="G65" s="89">
        <v>15.5</v>
      </c>
      <c r="H65" s="89">
        <v>101</v>
      </c>
      <c r="I65" s="89">
        <v>8.8000000000000007</v>
      </c>
      <c r="J65" s="89">
        <v>75.099999999999994</v>
      </c>
      <c r="K65" s="89">
        <v>124</v>
      </c>
      <c r="L65" s="89">
        <v>63.3</v>
      </c>
      <c r="M65" s="89">
        <v>47.7</v>
      </c>
      <c r="N65" s="89">
        <v>11.4</v>
      </c>
      <c r="O65" s="87">
        <v>8.1999999999999993</v>
      </c>
      <c r="P65" s="88">
        <v>10.1</v>
      </c>
      <c r="Q65" s="87">
        <v>14.6</v>
      </c>
      <c r="R65" s="88">
        <v>9.56</v>
      </c>
      <c r="S65" s="89">
        <v>20.5</v>
      </c>
      <c r="T65" s="89">
        <v>13.1</v>
      </c>
      <c r="U65" s="89">
        <v>46.4</v>
      </c>
      <c r="V65" s="89">
        <v>13.5</v>
      </c>
      <c r="W65" s="89">
        <v>0.02</v>
      </c>
      <c r="X65" s="89">
        <v>0.02</v>
      </c>
      <c r="Y65" s="89">
        <v>7.0000000000000007E-2</v>
      </c>
      <c r="Z65" s="60" t="s">
        <v>10</v>
      </c>
      <c r="AA65" s="61" t="s">
        <v>10</v>
      </c>
      <c r="AB65" s="61" t="s">
        <v>10</v>
      </c>
      <c r="AC65" s="72" t="s">
        <v>255</v>
      </c>
    </row>
    <row r="66" spans="1:29" x14ac:dyDescent="0.2">
      <c r="A66" s="48" t="s">
        <v>298</v>
      </c>
      <c r="B66" s="183"/>
      <c r="C66" s="37">
        <v>1E-3</v>
      </c>
      <c r="D66" s="87">
        <v>7.9000000000000001E-2</v>
      </c>
      <c r="E66" s="88">
        <v>0.08</v>
      </c>
      <c r="F66" s="89">
        <v>0.33600000000000002</v>
      </c>
      <c r="G66" s="89">
        <v>0.84499999999999997</v>
      </c>
      <c r="H66" s="89">
        <v>1.2</v>
      </c>
      <c r="I66" s="89">
        <v>2.17</v>
      </c>
      <c r="J66" s="89">
        <v>1.18</v>
      </c>
      <c r="K66" s="89">
        <v>1.25</v>
      </c>
      <c r="L66" s="89">
        <v>1.69</v>
      </c>
      <c r="M66" s="89">
        <v>1.45</v>
      </c>
      <c r="N66" s="89">
        <v>0.98699999999999999</v>
      </c>
      <c r="O66" s="87">
        <v>0.996</v>
      </c>
      <c r="P66" s="88">
        <v>1</v>
      </c>
      <c r="Q66" s="87">
        <v>0.39700000000000002</v>
      </c>
      <c r="R66" s="88">
        <v>0.35799999999999998</v>
      </c>
      <c r="S66" s="89">
        <v>1.1299999999999999</v>
      </c>
      <c r="T66" s="89">
        <v>0.90300000000000002</v>
      </c>
      <c r="U66" s="89">
        <v>0.79200000000000004</v>
      </c>
      <c r="V66" s="89">
        <v>0.29799999999999999</v>
      </c>
      <c r="W66" s="89">
        <v>1E-3</v>
      </c>
      <c r="X66" s="89">
        <v>1E-3</v>
      </c>
      <c r="Y66" s="89">
        <v>1E-3</v>
      </c>
      <c r="Z66" s="60" t="s">
        <v>10</v>
      </c>
      <c r="AA66" s="61" t="s">
        <v>10</v>
      </c>
      <c r="AB66" s="61" t="s">
        <v>10</v>
      </c>
      <c r="AC66" s="72" t="s">
        <v>255</v>
      </c>
    </row>
    <row r="67" spans="1:29" x14ac:dyDescent="0.2">
      <c r="A67" s="48" t="s">
        <v>299</v>
      </c>
      <c r="B67" s="183"/>
      <c r="C67" s="37">
        <v>0.1</v>
      </c>
      <c r="D67" s="87">
        <v>12.9</v>
      </c>
      <c r="E67" s="88">
        <v>8.8000000000000007</v>
      </c>
      <c r="F67" s="89">
        <v>28.5</v>
      </c>
      <c r="G67" s="89">
        <v>156</v>
      </c>
      <c r="H67" s="89">
        <v>315</v>
      </c>
      <c r="I67" s="89">
        <v>99</v>
      </c>
      <c r="J67" s="89">
        <v>245</v>
      </c>
      <c r="K67" s="89">
        <v>593</v>
      </c>
      <c r="L67" s="89">
        <v>510</v>
      </c>
      <c r="M67" s="89">
        <v>542</v>
      </c>
      <c r="N67" s="89">
        <v>357</v>
      </c>
      <c r="O67" s="87">
        <v>360</v>
      </c>
      <c r="P67" s="88">
        <v>384</v>
      </c>
      <c r="Q67" s="87">
        <v>46.8</v>
      </c>
      <c r="R67" s="88">
        <v>41.8</v>
      </c>
      <c r="S67" s="89">
        <v>332</v>
      </c>
      <c r="T67" s="89">
        <v>134</v>
      </c>
      <c r="U67" s="89">
        <v>186</v>
      </c>
      <c r="V67" s="89">
        <v>63</v>
      </c>
      <c r="W67" s="89">
        <v>0.1</v>
      </c>
      <c r="X67" s="89">
        <v>0.1</v>
      </c>
      <c r="Y67" s="89">
        <v>0.1</v>
      </c>
      <c r="Z67" s="60" t="s">
        <v>10</v>
      </c>
      <c r="AA67" s="61" t="s">
        <v>10</v>
      </c>
      <c r="AB67" s="61" t="s">
        <v>10</v>
      </c>
      <c r="AC67" s="62" t="s">
        <v>10</v>
      </c>
    </row>
    <row r="68" spans="1:29" x14ac:dyDescent="0.2">
      <c r="A68" s="48" t="s">
        <v>300</v>
      </c>
      <c r="B68" s="183"/>
      <c r="C68" s="37">
        <v>1E-4</v>
      </c>
      <c r="D68" s="87">
        <v>1E-4</v>
      </c>
      <c r="E68" s="88">
        <v>1E-4</v>
      </c>
      <c r="F68" s="89">
        <v>1E-4</v>
      </c>
      <c r="G68" s="89">
        <v>1E-4</v>
      </c>
      <c r="H68" s="89">
        <v>1E-4</v>
      </c>
      <c r="I68" s="89">
        <v>1E-4</v>
      </c>
      <c r="J68" s="89">
        <v>1E-4</v>
      </c>
      <c r="K68" s="89">
        <v>1E-4</v>
      </c>
      <c r="L68" s="89">
        <v>1E-4</v>
      </c>
      <c r="M68" s="89">
        <v>1E-4</v>
      </c>
      <c r="N68" s="89">
        <v>1E-4</v>
      </c>
      <c r="O68" s="87">
        <v>1E-4</v>
      </c>
      <c r="P68" s="88">
        <v>1E-4</v>
      </c>
      <c r="Q68" s="87">
        <v>1E-4</v>
      </c>
      <c r="R68" s="88">
        <v>1E-4</v>
      </c>
      <c r="S68" s="89">
        <v>1E-4</v>
      </c>
      <c r="T68" s="89">
        <v>1E-4</v>
      </c>
      <c r="U68" s="89">
        <v>1E-4</v>
      </c>
      <c r="V68" s="89">
        <v>1E-4</v>
      </c>
      <c r="W68" s="89">
        <v>1E-4</v>
      </c>
      <c r="X68" s="89">
        <v>1E-4</v>
      </c>
      <c r="Y68" s="89">
        <v>1E-4</v>
      </c>
      <c r="Z68" s="60" t="s">
        <v>10</v>
      </c>
      <c r="AA68" s="61" t="s">
        <v>10</v>
      </c>
      <c r="AB68" s="61" t="s">
        <v>10</v>
      </c>
      <c r="AC68" s="62" t="s">
        <v>10</v>
      </c>
    </row>
    <row r="69" spans="1:29" x14ac:dyDescent="0.2">
      <c r="A69" s="48" t="s">
        <v>301</v>
      </c>
      <c r="B69" s="183"/>
      <c r="C69" s="37">
        <v>1.0000000000000001E-5</v>
      </c>
      <c r="D69" s="107">
        <v>1.0000000000000001E-5</v>
      </c>
      <c r="E69" s="108">
        <v>1.0000000000000001E-5</v>
      </c>
      <c r="F69" s="103">
        <v>1.0000000000000001E-5</v>
      </c>
      <c r="G69" s="103">
        <v>1.0000000000000001E-5</v>
      </c>
      <c r="H69" s="103">
        <v>2.0000000000000002E-5</v>
      </c>
      <c r="I69" s="103">
        <v>1.0000000000000001E-5</v>
      </c>
      <c r="J69" s="103">
        <v>1.0000000000000001E-5</v>
      </c>
      <c r="K69" s="103">
        <v>2.4000000000000001E-4</v>
      </c>
      <c r="L69" s="103">
        <v>1.0000000000000001E-5</v>
      </c>
      <c r="M69" s="103">
        <v>6.9999999999999994E-5</v>
      </c>
      <c r="N69" s="103">
        <v>1.2E-4</v>
      </c>
      <c r="O69" s="107">
        <v>2.4000000000000001E-4</v>
      </c>
      <c r="P69" s="108">
        <v>2.5000000000000001E-4</v>
      </c>
      <c r="Q69" s="107">
        <v>1.0000000000000001E-5</v>
      </c>
      <c r="R69" s="108">
        <v>1.0000000000000001E-5</v>
      </c>
      <c r="S69" s="103">
        <v>1.0000000000000001E-5</v>
      </c>
      <c r="T69" s="103">
        <v>1.0000000000000001E-5</v>
      </c>
      <c r="U69" s="103">
        <v>1.0000000000000001E-5</v>
      </c>
      <c r="V69" s="103">
        <v>1.0000000000000001E-5</v>
      </c>
      <c r="W69" s="103">
        <v>1.0000000000000001E-5</v>
      </c>
      <c r="X69" s="103">
        <v>1.0000000000000001E-5</v>
      </c>
      <c r="Y69" s="103">
        <v>1.0000000000000001E-5</v>
      </c>
      <c r="Z69" s="71">
        <v>3.0000000000000001E-3</v>
      </c>
      <c r="AA69" s="61" t="s">
        <v>10</v>
      </c>
      <c r="AB69" s="61" t="s">
        <v>10</v>
      </c>
      <c r="AC69" s="72">
        <v>8.0000000000000004E-4</v>
      </c>
    </row>
    <row r="70" spans="1:29" x14ac:dyDescent="0.2">
      <c r="A70" s="48" t="s">
        <v>302</v>
      </c>
      <c r="B70" s="183"/>
      <c r="C70" s="37">
        <v>4.0000000000000002E-4</v>
      </c>
      <c r="D70" s="87">
        <v>4.0000000000000002E-4</v>
      </c>
      <c r="E70" s="88">
        <v>4.0000000000000002E-4</v>
      </c>
      <c r="F70" s="89">
        <v>4.0000000000000002E-4</v>
      </c>
      <c r="G70" s="89">
        <v>4.0000000000000002E-4</v>
      </c>
      <c r="H70" s="89">
        <v>4.0000000000000002E-4</v>
      </c>
      <c r="I70" s="89">
        <v>4.0000000000000002E-4</v>
      </c>
      <c r="J70" s="89">
        <v>4.0000000000000002E-4</v>
      </c>
      <c r="K70" s="89">
        <v>4.0000000000000002E-4</v>
      </c>
      <c r="L70" s="89">
        <v>4.0000000000000002E-4</v>
      </c>
      <c r="M70" s="89">
        <v>4.0000000000000002E-4</v>
      </c>
      <c r="N70" s="89">
        <v>4.0000000000000002E-4</v>
      </c>
      <c r="O70" s="87">
        <v>4.0000000000000002E-4</v>
      </c>
      <c r="P70" s="88">
        <v>4.0000000000000002E-4</v>
      </c>
      <c r="Q70" s="87">
        <v>5.9999999999999995E-4</v>
      </c>
      <c r="R70" s="88">
        <v>4.0000000000000002E-4</v>
      </c>
      <c r="S70" s="89">
        <v>4.0000000000000002E-4</v>
      </c>
      <c r="T70" s="89">
        <v>4.0000000000000002E-4</v>
      </c>
      <c r="U70" s="89">
        <v>4.0000000000000002E-4</v>
      </c>
      <c r="V70" s="89">
        <v>4.0000000000000002E-4</v>
      </c>
      <c r="W70" s="89">
        <v>4.0000000000000002E-4</v>
      </c>
      <c r="X70" s="89">
        <v>4.0000000000000002E-4</v>
      </c>
      <c r="Y70" s="89">
        <v>4.0000000000000002E-4</v>
      </c>
      <c r="Z70" s="60" t="s">
        <v>10</v>
      </c>
      <c r="AA70" s="61" t="s">
        <v>10</v>
      </c>
      <c r="AB70" s="61" t="s">
        <v>10</v>
      </c>
      <c r="AC70" s="62" t="s">
        <v>10</v>
      </c>
    </row>
    <row r="71" spans="1:29" x14ac:dyDescent="0.2">
      <c r="A71" s="48" t="s">
        <v>303</v>
      </c>
      <c r="B71" s="183"/>
      <c r="C71" s="37">
        <v>1E-4</v>
      </c>
      <c r="D71" s="87">
        <v>1E-4</v>
      </c>
      <c r="E71" s="88">
        <v>1E-4</v>
      </c>
      <c r="F71" s="89">
        <v>2.0000000000000001E-4</v>
      </c>
      <c r="G71" s="89">
        <v>1E-4</v>
      </c>
      <c r="H71" s="89">
        <v>1E-4</v>
      </c>
      <c r="I71" s="89">
        <v>8.0000000000000004E-4</v>
      </c>
      <c r="J71" s="89">
        <v>4.0000000000000002E-4</v>
      </c>
      <c r="K71" s="89">
        <v>1E-4</v>
      </c>
      <c r="L71" s="89">
        <v>1E-4</v>
      </c>
      <c r="M71" s="89">
        <v>1E-4</v>
      </c>
      <c r="N71" s="89">
        <v>1E-4</v>
      </c>
      <c r="O71" s="87">
        <v>1E-4</v>
      </c>
      <c r="P71" s="88">
        <v>1E-4</v>
      </c>
      <c r="Q71" s="87">
        <v>1E-4</v>
      </c>
      <c r="R71" s="88">
        <v>1E-4</v>
      </c>
      <c r="S71" s="89">
        <v>1E-4</v>
      </c>
      <c r="T71" s="89">
        <v>1E-4</v>
      </c>
      <c r="U71" s="89">
        <v>1E-4</v>
      </c>
      <c r="V71" s="89">
        <v>1E-4</v>
      </c>
      <c r="W71" s="89">
        <v>1E-4</v>
      </c>
      <c r="X71" s="89">
        <v>1E-4</v>
      </c>
      <c r="Y71" s="89">
        <v>5.9999999999999995E-4</v>
      </c>
      <c r="Z71" s="60" t="s">
        <v>10</v>
      </c>
      <c r="AA71" s="61" t="s">
        <v>10</v>
      </c>
      <c r="AB71" s="61" t="s">
        <v>10</v>
      </c>
      <c r="AC71" s="72" t="s">
        <v>255</v>
      </c>
    </row>
    <row r="72" spans="1:29" x14ac:dyDescent="0.2">
      <c r="A72" s="48" t="s">
        <v>304</v>
      </c>
      <c r="B72" s="183"/>
      <c r="C72" s="37">
        <v>1E-3</v>
      </c>
      <c r="D72" s="87">
        <v>0.01</v>
      </c>
      <c r="E72" s="88">
        <v>0.01</v>
      </c>
      <c r="F72" s="89">
        <v>0.01</v>
      </c>
      <c r="G72" s="89">
        <v>0.01</v>
      </c>
      <c r="H72" s="89">
        <v>0.01</v>
      </c>
      <c r="I72" s="89">
        <v>1.2E-2</v>
      </c>
      <c r="J72" s="89">
        <v>0.01</v>
      </c>
      <c r="K72" s="89">
        <v>0.01</v>
      </c>
      <c r="L72" s="89">
        <v>1E-3</v>
      </c>
      <c r="M72" s="89">
        <v>0.01</v>
      </c>
      <c r="N72" s="89">
        <v>0.01</v>
      </c>
      <c r="O72" s="87">
        <v>0.01</v>
      </c>
      <c r="P72" s="88">
        <v>2.5000000000000001E-2</v>
      </c>
      <c r="Q72" s="87">
        <v>0.01</v>
      </c>
      <c r="R72" s="88">
        <v>0.01</v>
      </c>
      <c r="S72" s="89">
        <v>0.01</v>
      </c>
      <c r="T72" s="89">
        <v>0.01</v>
      </c>
      <c r="U72" s="89">
        <v>1.4E-2</v>
      </c>
      <c r="V72" s="89">
        <v>0.01</v>
      </c>
      <c r="W72" s="89">
        <v>1E-3</v>
      </c>
      <c r="X72" s="89">
        <v>1E-3</v>
      </c>
      <c r="Y72" s="89">
        <v>1E-3</v>
      </c>
      <c r="Z72" s="71">
        <v>1</v>
      </c>
      <c r="AA72" s="61" t="s">
        <v>10</v>
      </c>
      <c r="AB72" s="61" t="s">
        <v>10</v>
      </c>
      <c r="AC72" s="72" t="s">
        <v>255</v>
      </c>
    </row>
    <row r="73" spans="1:29" x14ac:dyDescent="0.2">
      <c r="A73" s="48" t="s">
        <v>305</v>
      </c>
      <c r="B73" s="183"/>
      <c r="C73" s="37">
        <v>4.0000000000000002E-4</v>
      </c>
      <c r="D73" s="87">
        <v>4.0000000000000002E-4</v>
      </c>
      <c r="E73" s="88">
        <v>4.0000000000000002E-4</v>
      </c>
      <c r="F73" s="89">
        <v>4.0000000000000002E-4</v>
      </c>
      <c r="G73" s="89">
        <v>4.7999999999999996E-3</v>
      </c>
      <c r="H73" s="89">
        <v>1.4E-3</v>
      </c>
      <c r="I73" s="89">
        <v>6.6E-3</v>
      </c>
      <c r="J73" s="89">
        <v>1E-3</v>
      </c>
      <c r="K73" s="89">
        <v>4.0000000000000002E-4</v>
      </c>
      <c r="L73" s="89">
        <v>4.0000000000000002E-4</v>
      </c>
      <c r="M73" s="89">
        <v>4.0000000000000002E-4</v>
      </c>
      <c r="N73" s="89">
        <v>5.5999999999999999E-3</v>
      </c>
      <c r="O73" s="87">
        <v>5.5999999999999999E-3</v>
      </c>
      <c r="P73" s="88">
        <v>6.1000000000000004E-3</v>
      </c>
      <c r="Q73" s="87">
        <v>5.9999999999999995E-4</v>
      </c>
      <c r="R73" s="88">
        <v>5.0000000000000001E-4</v>
      </c>
      <c r="S73" s="89">
        <v>2.7000000000000001E-3</v>
      </c>
      <c r="T73" s="89">
        <v>3.8E-3</v>
      </c>
      <c r="U73" s="89">
        <v>2.3E-3</v>
      </c>
      <c r="V73" s="89">
        <v>1.5E-3</v>
      </c>
      <c r="W73" s="89">
        <v>4.0000000000000002E-4</v>
      </c>
      <c r="X73" s="89">
        <v>4.0000000000000002E-4</v>
      </c>
      <c r="Y73" s="89">
        <v>4.0000000000000002E-4</v>
      </c>
      <c r="Z73" s="71">
        <v>3</v>
      </c>
      <c r="AA73" s="61" t="s">
        <v>10</v>
      </c>
      <c r="AB73" s="61" t="s">
        <v>10</v>
      </c>
      <c r="AC73" s="72">
        <v>1.4999999999999999E-2</v>
      </c>
    </row>
    <row r="74" spans="1:29" x14ac:dyDescent="0.2">
      <c r="A74" s="48" t="s">
        <v>306</v>
      </c>
      <c r="B74" s="183"/>
      <c r="C74" s="37">
        <v>1E-4</v>
      </c>
      <c r="D74" s="87">
        <v>1.6000000000000001E-3</v>
      </c>
      <c r="E74" s="88">
        <v>1.8E-3</v>
      </c>
      <c r="F74" s="89">
        <v>6.9999999999999999E-4</v>
      </c>
      <c r="G74" s="89">
        <v>2.0000000000000001E-4</v>
      </c>
      <c r="H74" s="89">
        <v>3.2000000000000002E-3</v>
      </c>
      <c r="I74" s="89">
        <v>2.0000000000000001E-4</v>
      </c>
      <c r="J74" s="89">
        <v>1.2500000000000001E-2</v>
      </c>
      <c r="K74" s="89">
        <v>1E-4</v>
      </c>
      <c r="L74" s="89">
        <v>2.0000000000000001E-4</v>
      </c>
      <c r="M74" s="89">
        <v>1E-4</v>
      </c>
      <c r="N74" s="89">
        <v>2.0000000000000001E-4</v>
      </c>
      <c r="O74" s="87">
        <v>1E-4</v>
      </c>
      <c r="P74" s="88">
        <v>1E-4</v>
      </c>
      <c r="Q74" s="87">
        <v>5.1000000000000004E-3</v>
      </c>
      <c r="R74" s="88">
        <v>6.1000000000000004E-3</v>
      </c>
      <c r="S74" s="89">
        <v>5.1999999999999998E-3</v>
      </c>
      <c r="T74" s="89">
        <v>8.0000000000000004E-4</v>
      </c>
      <c r="U74" s="89">
        <v>1.8E-3</v>
      </c>
      <c r="V74" s="89">
        <v>4.0000000000000002E-4</v>
      </c>
      <c r="W74" s="89">
        <v>1E-4</v>
      </c>
      <c r="X74" s="89">
        <v>1E-4</v>
      </c>
      <c r="Y74" s="89">
        <v>1E-4</v>
      </c>
      <c r="Z74" s="60" t="s">
        <v>10</v>
      </c>
      <c r="AA74" s="61" t="s">
        <v>10</v>
      </c>
      <c r="AB74" s="61" t="s">
        <v>10</v>
      </c>
      <c r="AC74" s="72" t="s">
        <v>255</v>
      </c>
    </row>
    <row r="75" spans="1:29" ht="14.25" x14ac:dyDescent="0.2">
      <c r="A75" s="48" t="s">
        <v>307</v>
      </c>
      <c r="B75" s="183"/>
      <c r="C75" s="37">
        <v>1E-3</v>
      </c>
      <c r="D75" s="87">
        <v>2.1999999999999999E-2</v>
      </c>
      <c r="E75" s="88">
        <v>2.3E-2</v>
      </c>
      <c r="F75" s="89">
        <v>4.0000000000000001E-3</v>
      </c>
      <c r="G75" s="89">
        <v>5.0000000000000001E-3</v>
      </c>
      <c r="H75" s="89">
        <v>2.3E-2</v>
      </c>
      <c r="I75" s="89">
        <v>2E-3</v>
      </c>
      <c r="J75" s="89">
        <v>5.0000000000000001E-3</v>
      </c>
      <c r="K75" s="112">
        <v>0.42599999999999999</v>
      </c>
      <c r="L75" s="89">
        <v>2E-3</v>
      </c>
      <c r="M75" s="112">
        <v>0.14599999999999999</v>
      </c>
      <c r="N75" s="89">
        <v>3.0000000000000001E-3</v>
      </c>
      <c r="O75" s="87">
        <v>2E-3</v>
      </c>
      <c r="P75" s="88">
        <v>2E-3</v>
      </c>
      <c r="Q75" s="87">
        <v>5.0000000000000001E-3</v>
      </c>
      <c r="R75" s="88">
        <v>4.0000000000000001E-3</v>
      </c>
      <c r="S75" s="112">
        <v>0.63500000000000001</v>
      </c>
      <c r="T75" s="89">
        <v>1.0999999999999999E-2</v>
      </c>
      <c r="U75" s="89">
        <v>7.0000000000000001E-3</v>
      </c>
      <c r="V75" s="89">
        <v>5.0000000000000001E-3</v>
      </c>
      <c r="W75" s="89">
        <v>1E-3</v>
      </c>
      <c r="X75" s="89">
        <v>1E-3</v>
      </c>
      <c r="Y75" s="89">
        <v>2E-3</v>
      </c>
      <c r="Z75" s="71" t="s">
        <v>308</v>
      </c>
      <c r="AA75" s="101">
        <v>0.5</v>
      </c>
      <c r="AB75" s="102">
        <v>1</v>
      </c>
      <c r="AC75" s="72">
        <v>0.03</v>
      </c>
    </row>
    <row r="76" spans="1:29" ht="13.5" thickBot="1" x14ac:dyDescent="0.25">
      <c r="A76" s="50" t="s">
        <v>309</v>
      </c>
      <c r="B76" s="184"/>
      <c r="C76" s="41">
        <v>1E-4</v>
      </c>
      <c r="D76" s="116">
        <v>2.9999999999999997E-4</v>
      </c>
      <c r="E76" s="117">
        <v>2.0000000000000001E-4</v>
      </c>
      <c r="F76" s="118">
        <v>2.0000000000000001E-4</v>
      </c>
      <c r="G76" s="118">
        <v>1E-4</v>
      </c>
      <c r="H76" s="118">
        <v>1.2999999999999999E-3</v>
      </c>
      <c r="I76" s="118">
        <v>1E-4</v>
      </c>
      <c r="J76" s="118">
        <v>2.5999999999999999E-3</v>
      </c>
      <c r="K76" s="118">
        <v>5.0000000000000001E-4</v>
      </c>
      <c r="L76" s="118">
        <v>2.9999999999999997E-4</v>
      </c>
      <c r="M76" s="118">
        <v>2.0000000000000001E-4</v>
      </c>
      <c r="N76" s="118">
        <v>1E-4</v>
      </c>
      <c r="O76" s="116">
        <v>1E-4</v>
      </c>
      <c r="P76" s="117">
        <v>1E-4</v>
      </c>
      <c r="Q76" s="116">
        <v>1.1999999999999999E-3</v>
      </c>
      <c r="R76" s="117">
        <v>1E-3</v>
      </c>
      <c r="S76" s="118">
        <v>1.1999999999999999E-3</v>
      </c>
      <c r="T76" s="118">
        <v>1E-4</v>
      </c>
      <c r="U76" s="118">
        <v>5.9999999999999995E-4</v>
      </c>
      <c r="V76" s="118">
        <v>2.0000000000000001E-4</v>
      </c>
      <c r="W76" s="118">
        <v>1E-4</v>
      </c>
      <c r="X76" s="118">
        <v>1E-4</v>
      </c>
      <c r="Y76" s="118">
        <v>1E-4</v>
      </c>
      <c r="Z76" s="78" t="s">
        <v>10</v>
      </c>
      <c r="AA76" s="79" t="s">
        <v>10</v>
      </c>
      <c r="AB76" s="119" t="s">
        <v>10</v>
      </c>
      <c r="AC76" s="80" t="s">
        <v>10</v>
      </c>
    </row>
    <row r="77" spans="1:29" ht="13.5" thickBot="1" x14ac:dyDescent="0.25">
      <c r="A77" s="188" t="s">
        <v>310</v>
      </c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  <c r="AA77" s="189"/>
      <c r="AB77" s="189"/>
      <c r="AC77" s="189"/>
    </row>
    <row r="78" spans="1:29" x14ac:dyDescent="0.2">
      <c r="A78" s="44" t="s">
        <v>311</v>
      </c>
      <c r="B78" s="182" t="s">
        <v>234</v>
      </c>
      <c r="C78" s="46">
        <v>5.0000000000000001E-3</v>
      </c>
      <c r="D78" s="52">
        <v>7.0000000000000007E-2</v>
      </c>
      <c r="E78" s="53">
        <v>7.0999999999999994E-2</v>
      </c>
      <c r="F78" s="47">
        <v>2.4E-2</v>
      </c>
      <c r="G78" s="47">
        <v>5.0000000000000001E-3</v>
      </c>
      <c r="H78" s="47">
        <v>2.8000000000000001E-2</v>
      </c>
      <c r="I78" s="47">
        <v>5.0000000000000001E-3</v>
      </c>
      <c r="J78" s="47">
        <v>2.4E-2</v>
      </c>
      <c r="K78" s="47">
        <v>5.0000000000000001E-3</v>
      </c>
      <c r="L78" s="47">
        <v>5.0000000000000001E-3</v>
      </c>
      <c r="M78" s="47">
        <v>5.0000000000000001E-3</v>
      </c>
      <c r="N78" s="47">
        <v>5.0000000000000001E-3</v>
      </c>
      <c r="O78" s="52">
        <v>5.0000000000000001E-3</v>
      </c>
      <c r="P78" s="53">
        <v>5.0000000000000001E-3</v>
      </c>
      <c r="Q78" s="52">
        <v>5.5E-2</v>
      </c>
      <c r="R78" s="53">
        <v>5.7000000000000002E-2</v>
      </c>
      <c r="S78" s="47">
        <v>1.0999999999999999E-2</v>
      </c>
      <c r="T78" s="47">
        <v>5.0000000000000001E-3</v>
      </c>
      <c r="U78" s="47">
        <v>5.0000000000000001E-3</v>
      </c>
      <c r="V78" s="47">
        <v>5.0000000000000001E-3</v>
      </c>
      <c r="W78" s="47"/>
      <c r="X78" s="47"/>
      <c r="Y78" s="47"/>
      <c r="Z78" s="86" t="s">
        <v>10</v>
      </c>
      <c r="AA78" s="58" t="s">
        <v>10</v>
      </c>
      <c r="AB78" s="58" t="s">
        <v>10</v>
      </c>
      <c r="AC78" s="59">
        <v>0.1</v>
      </c>
    </row>
    <row r="79" spans="1:29" x14ac:dyDescent="0.2">
      <c r="A79" s="48" t="s">
        <v>312</v>
      </c>
      <c r="B79" s="183"/>
      <c r="C79" s="37">
        <v>2.0000000000000001E-4</v>
      </c>
      <c r="D79" s="36">
        <v>1.6999999999999999E-3</v>
      </c>
      <c r="E79" s="37">
        <v>1.6999999999999999E-3</v>
      </c>
      <c r="F79" s="38">
        <v>5.0000000000000001E-4</v>
      </c>
      <c r="G79" s="38">
        <v>1.4E-3</v>
      </c>
      <c r="H79" s="38">
        <v>5.0000000000000001E-4</v>
      </c>
      <c r="I79" s="38">
        <v>2.0000000000000001E-4</v>
      </c>
      <c r="J79" s="38">
        <v>2.0000000000000001E-4</v>
      </c>
      <c r="K79" s="38">
        <v>3.2000000000000002E-3</v>
      </c>
      <c r="L79" s="68">
        <v>0.70199999999999996</v>
      </c>
      <c r="M79" s="68">
        <v>0.42</v>
      </c>
      <c r="N79" s="38">
        <v>1.1999999999999999E-3</v>
      </c>
      <c r="O79" s="36">
        <v>5.0000000000000001E-4</v>
      </c>
      <c r="P79" s="37">
        <v>2.0000000000000001E-4</v>
      </c>
      <c r="Q79" s="36">
        <v>4.0000000000000002E-4</v>
      </c>
      <c r="R79" s="37">
        <v>2.0000000000000001E-4</v>
      </c>
      <c r="S79" s="38">
        <v>2.9999999999999997E-4</v>
      </c>
      <c r="T79" s="38">
        <v>2.0000000000000001E-4</v>
      </c>
      <c r="U79" s="38">
        <v>4.0000000000000002E-4</v>
      </c>
      <c r="V79" s="38">
        <v>2.9999999999999997E-4</v>
      </c>
      <c r="W79" s="38"/>
      <c r="X79" s="38"/>
      <c r="Y79" s="38"/>
      <c r="Z79" s="71">
        <v>0.2</v>
      </c>
      <c r="AA79" s="61" t="s">
        <v>10</v>
      </c>
      <c r="AB79" s="61" t="s">
        <v>10</v>
      </c>
      <c r="AC79" s="72" t="s">
        <v>255</v>
      </c>
    </row>
    <row r="80" spans="1:29" x14ac:dyDescent="0.2">
      <c r="A80" s="48" t="s">
        <v>313</v>
      </c>
      <c r="B80" s="183"/>
      <c r="C80" s="37">
        <v>2.0000000000000001E-4</v>
      </c>
      <c r="D80" s="65">
        <v>6.0000000000000001E-3</v>
      </c>
      <c r="E80" s="66">
        <v>5.4000000000000003E-3</v>
      </c>
      <c r="F80" s="49">
        <v>1.5699999999999999E-2</v>
      </c>
      <c r="G80" s="38">
        <v>2.8999999999999998E-3</v>
      </c>
      <c r="H80" s="49">
        <v>1.83E-2</v>
      </c>
      <c r="I80" s="49">
        <v>9.5999999999999992E-3</v>
      </c>
      <c r="J80" s="49">
        <v>4.6800000000000001E-2</v>
      </c>
      <c r="K80" s="63">
        <v>15.1</v>
      </c>
      <c r="L80" s="63">
        <v>3.61</v>
      </c>
      <c r="M80" s="63">
        <v>3.6</v>
      </c>
      <c r="N80" s="49">
        <v>2.0799999999999999E-2</v>
      </c>
      <c r="O80" s="120">
        <v>5.7700000000000001E-2</v>
      </c>
      <c r="P80" s="121">
        <v>5.4699999999999999E-2</v>
      </c>
      <c r="Q80" s="65">
        <v>1.5599999999999999E-2</v>
      </c>
      <c r="R80" s="66">
        <v>1.3299999999999999E-2</v>
      </c>
      <c r="S80" s="38">
        <v>7.0000000000000001E-3</v>
      </c>
      <c r="T80" s="38">
        <v>3.5999999999999999E-3</v>
      </c>
      <c r="U80" s="49">
        <v>2.3599999999999999E-2</v>
      </c>
      <c r="V80" s="38">
        <v>2.7000000000000001E-3</v>
      </c>
      <c r="W80" s="38"/>
      <c r="X80" s="38"/>
      <c r="Y80" s="38"/>
      <c r="Z80" s="71">
        <v>0.05</v>
      </c>
      <c r="AA80" s="101">
        <v>0.5</v>
      </c>
      <c r="AB80" s="102">
        <v>1</v>
      </c>
      <c r="AC80" s="72">
        <v>5.0000000000000001E-3</v>
      </c>
    </row>
    <row r="81" spans="1:29" x14ac:dyDescent="0.2">
      <c r="A81" s="48" t="s">
        <v>314</v>
      </c>
      <c r="B81" s="183"/>
      <c r="C81" s="37">
        <v>1E-3</v>
      </c>
      <c r="D81" s="36">
        <v>4.1000000000000002E-2</v>
      </c>
      <c r="E81" s="37">
        <v>4.2000000000000003E-2</v>
      </c>
      <c r="F81" s="38">
        <v>4.2999999999999997E-2</v>
      </c>
      <c r="G81" s="38">
        <v>0.152</v>
      </c>
      <c r="H81" s="38">
        <v>6.8000000000000005E-2</v>
      </c>
      <c r="I81" s="38">
        <v>8.1000000000000003E-2</v>
      </c>
      <c r="J81" s="38">
        <v>0.109</v>
      </c>
      <c r="K81" s="38">
        <v>8.0000000000000002E-3</v>
      </c>
      <c r="L81" s="38">
        <v>8.9999999999999993E-3</v>
      </c>
      <c r="M81" s="38">
        <v>5.0000000000000001E-3</v>
      </c>
      <c r="N81" s="38">
        <v>8.0000000000000002E-3</v>
      </c>
      <c r="O81" s="36">
        <v>7.0000000000000001E-3</v>
      </c>
      <c r="P81" s="37">
        <v>7.0000000000000001E-3</v>
      </c>
      <c r="Q81" s="36">
        <v>0.104</v>
      </c>
      <c r="R81" s="37">
        <v>0.105</v>
      </c>
      <c r="S81" s="38">
        <v>0.128</v>
      </c>
      <c r="T81" s="38">
        <v>0.13500000000000001</v>
      </c>
      <c r="U81" s="38">
        <v>6.0999999999999999E-2</v>
      </c>
      <c r="V81" s="38">
        <v>5.1999999999999998E-2</v>
      </c>
      <c r="W81" s="38"/>
      <c r="X81" s="38"/>
      <c r="Y81" s="38"/>
      <c r="Z81" s="71">
        <v>10</v>
      </c>
      <c r="AA81" s="61" t="s">
        <v>10</v>
      </c>
      <c r="AB81" s="61" t="s">
        <v>10</v>
      </c>
      <c r="AC81" s="72" t="s">
        <v>255</v>
      </c>
    </row>
    <row r="82" spans="1:29" x14ac:dyDescent="0.2">
      <c r="A82" s="48" t="s">
        <v>315</v>
      </c>
      <c r="B82" s="183"/>
      <c r="C82" s="37">
        <v>4.0000000000000003E-5</v>
      </c>
      <c r="D82" s="107">
        <v>4.0000000000000003E-5</v>
      </c>
      <c r="E82" s="108">
        <v>4.0000000000000003E-5</v>
      </c>
      <c r="F82" s="103">
        <v>4.0000000000000003E-5</v>
      </c>
      <c r="G82" s="103">
        <v>4.0000000000000003E-5</v>
      </c>
      <c r="H82" s="103">
        <v>4.0000000000000003E-5</v>
      </c>
      <c r="I82" s="103">
        <v>4.0000000000000003E-5</v>
      </c>
      <c r="J82" s="103">
        <v>4.0000000000000003E-5</v>
      </c>
      <c r="K82" s="103">
        <v>4.0000000000000003E-5</v>
      </c>
      <c r="L82" s="103">
        <v>4.0000000000000003E-5</v>
      </c>
      <c r="M82" s="103">
        <v>4.0000000000000003E-5</v>
      </c>
      <c r="N82" s="103">
        <v>4.0000000000000003E-5</v>
      </c>
      <c r="O82" s="107">
        <v>4.0000000000000003E-5</v>
      </c>
      <c r="P82" s="108">
        <v>4.0000000000000003E-5</v>
      </c>
      <c r="Q82" s="107">
        <v>4.0000000000000003E-5</v>
      </c>
      <c r="R82" s="108">
        <v>4.0000000000000003E-5</v>
      </c>
      <c r="S82" s="103">
        <v>4.0000000000000003E-5</v>
      </c>
      <c r="T82" s="103">
        <v>4.0000000000000003E-5</v>
      </c>
      <c r="U82" s="103">
        <v>4.0000000000000003E-5</v>
      </c>
      <c r="V82" s="103">
        <v>4.0000000000000003E-5</v>
      </c>
      <c r="W82" s="38"/>
      <c r="X82" s="38"/>
      <c r="Y82" s="38"/>
      <c r="Z82" s="71">
        <v>5.2999999999999999E-2</v>
      </c>
      <c r="AA82" s="61" t="s">
        <v>10</v>
      </c>
      <c r="AB82" s="61" t="s">
        <v>10</v>
      </c>
      <c r="AC82" s="72" t="s">
        <v>255</v>
      </c>
    </row>
    <row r="83" spans="1:29" x14ac:dyDescent="0.2">
      <c r="A83" s="48" t="s">
        <v>316</v>
      </c>
      <c r="B83" s="183"/>
      <c r="C83" s="37">
        <v>1E-3</v>
      </c>
      <c r="D83" s="36">
        <v>1E-3</v>
      </c>
      <c r="E83" s="37">
        <v>1E-3</v>
      </c>
      <c r="F83" s="38">
        <v>1E-3</v>
      </c>
      <c r="G83" s="38">
        <v>1E-3</v>
      </c>
      <c r="H83" s="38">
        <v>1E-3</v>
      </c>
      <c r="I83" s="38">
        <v>1E-3</v>
      </c>
      <c r="J83" s="38">
        <v>1E-3</v>
      </c>
      <c r="K83" s="38">
        <v>1E-3</v>
      </c>
      <c r="L83" s="38">
        <v>1E-3</v>
      </c>
      <c r="M83" s="38">
        <v>1E-3</v>
      </c>
      <c r="N83" s="38">
        <v>1E-3</v>
      </c>
      <c r="O83" s="36">
        <v>1E-3</v>
      </c>
      <c r="P83" s="37">
        <v>1E-3</v>
      </c>
      <c r="Q83" s="36">
        <v>1E-3</v>
      </c>
      <c r="R83" s="37">
        <v>1E-3</v>
      </c>
      <c r="S83" s="38">
        <v>1E-3</v>
      </c>
      <c r="T83" s="38">
        <v>1E-3</v>
      </c>
      <c r="U83" s="38">
        <v>1E-3</v>
      </c>
      <c r="V83" s="38">
        <v>1E-3</v>
      </c>
      <c r="W83" s="38"/>
      <c r="X83" s="38"/>
      <c r="Y83" s="38"/>
      <c r="Z83" s="60" t="s">
        <v>10</v>
      </c>
      <c r="AA83" s="61" t="s">
        <v>10</v>
      </c>
      <c r="AB83" s="61" t="s">
        <v>10</v>
      </c>
      <c r="AC83" s="72" t="s">
        <v>255</v>
      </c>
    </row>
    <row r="84" spans="1:29" x14ac:dyDescent="0.2">
      <c r="A84" s="48" t="s">
        <v>317</v>
      </c>
      <c r="B84" s="183"/>
      <c r="C84" s="37">
        <v>4.0000000000000001E-3</v>
      </c>
      <c r="D84" s="36">
        <v>0.01</v>
      </c>
      <c r="E84" s="37">
        <v>4.0000000000000001E-3</v>
      </c>
      <c r="F84" s="38">
        <v>8.0000000000000002E-3</v>
      </c>
      <c r="G84" s="38">
        <v>3.2000000000000001E-2</v>
      </c>
      <c r="H84" s="38">
        <v>0.08</v>
      </c>
      <c r="I84" s="38">
        <v>8.0000000000000002E-3</v>
      </c>
      <c r="J84" s="38">
        <v>0.11</v>
      </c>
      <c r="K84" s="38">
        <v>5.0999999999999997E-2</v>
      </c>
      <c r="L84" s="38">
        <v>0.16600000000000001</v>
      </c>
      <c r="M84" s="38">
        <v>0.23400000000000001</v>
      </c>
      <c r="N84" s="38">
        <v>0.53700000000000003</v>
      </c>
      <c r="O84" s="36">
        <v>3.4000000000000002E-2</v>
      </c>
      <c r="P84" s="37">
        <v>1.9E-2</v>
      </c>
      <c r="Q84" s="36">
        <v>3.3000000000000002E-2</v>
      </c>
      <c r="R84" s="37">
        <v>2.5000000000000001E-2</v>
      </c>
      <c r="S84" s="38">
        <v>0.11</v>
      </c>
      <c r="T84" s="38">
        <v>2.4E-2</v>
      </c>
      <c r="U84" s="38">
        <v>7.8E-2</v>
      </c>
      <c r="V84" s="38">
        <v>2.8000000000000001E-2</v>
      </c>
      <c r="W84" s="38"/>
      <c r="X84" s="38"/>
      <c r="Y84" s="38"/>
      <c r="Z84" s="60">
        <v>50</v>
      </c>
      <c r="AA84" s="61" t="s">
        <v>10</v>
      </c>
      <c r="AB84" s="61" t="s">
        <v>10</v>
      </c>
      <c r="AC84" s="72">
        <v>1.5</v>
      </c>
    </row>
    <row r="85" spans="1:29" ht="14.25" x14ac:dyDescent="0.2">
      <c r="A85" s="48" t="s">
        <v>318</v>
      </c>
      <c r="B85" s="183"/>
      <c r="C85" s="37">
        <v>1.0000000000000001E-5</v>
      </c>
      <c r="D85" s="104">
        <v>1.1E-4</v>
      </c>
      <c r="E85" s="105">
        <v>1.1E-4</v>
      </c>
      <c r="F85" s="103">
        <v>4.0000000000000003E-5</v>
      </c>
      <c r="G85" s="103">
        <v>9.0000000000000006E-5</v>
      </c>
      <c r="H85" s="103">
        <v>6.0000000000000002E-5</v>
      </c>
      <c r="I85" s="103">
        <v>1.0000000000000001E-5</v>
      </c>
      <c r="J85" s="103">
        <v>1.0000000000000001E-5</v>
      </c>
      <c r="K85" s="109">
        <v>5.5999999999999995E-4</v>
      </c>
      <c r="L85" s="103">
        <v>1.0000000000000001E-5</v>
      </c>
      <c r="M85" s="103">
        <v>1.0000000000000001E-5</v>
      </c>
      <c r="N85" s="103">
        <v>1.0000000000000001E-5</v>
      </c>
      <c r="O85" s="107">
        <v>6.0000000000000002E-5</v>
      </c>
      <c r="P85" s="108">
        <v>4.0000000000000003E-5</v>
      </c>
      <c r="Q85" s="107">
        <v>5.0000000000000002E-5</v>
      </c>
      <c r="R85" s="108">
        <v>3.0000000000000001E-5</v>
      </c>
      <c r="S85" s="103">
        <v>5.0000000000000002E-5</v>
      </c>
      <c r="T85" s="103">
        <v>6.0000000000000002E-5</v>
      </c>
      <c r="U85" s="109">
        <v>4.2000000000000002E-4</v>
      </c>
      <c r="V85" s="109">
        <v>2.7E-4</v>
      </c>
      <c r="W85" s="38"/>
      <c r="X85" s="38"/>
      <c r="Y85" s="38"/>
      <c r="Z85" s="71" t="s">
        <v>270</v>
      </c>
      <c r="AA85" s="61" t="s">
        <v>10</v>
      </c>
      <c r="AB85" s="61" t="s">
        <v>10</v>
      </c>
      <c r="AC85" s="72" t="s">
        <v>271</v>
      </c>
    </row>
    <row r="86" spans="1:29" ht="14.25" x14ac:dyDescent="0.2">
      <c r="A86" s="48" t="s">
        <v>319</v>
      </c>
      <c r="B86" s="183"/>
      <c r="C86" s="37">
        <v>4.0000000000000002E-4</v>
      </c>
      <c r="D86" s="36">
        <v>4.0000000000000002E-4</v>
      </c>
      <c r="E86" s="37">
        <v>4.0000000000000002E-4</v>
      </c>
      <c r="F86" s="38">
        <v>4.0000000000000002E-4</v>
      </c>
      <c r="G86" s="38">
        <v>8.0000000000000004E-4</v>
      </c>
      <c r="H86" s="49">
        <v>2E-3</v>
      </c>
      <c r="I86" s="38">
        <v>4.0000000000000002E-4</v>
      </c>
      <c r="J86" s="49">
        <v>2.3E-3</v>
      </c>
      <c r="K86" s="38">
        <v>4.0000000000000002E-4</v>
      </c>
      <c r="L86" s="38">
        <v>4.0000000000000002E-4</v>
      </c>
      <c r="M86" s="38">
        <v>4.0000000000000002E-4</v>
      </c>
      <c r="N86" s="38">
        <v>8.0000000000000004E-4</v>
      </c>
      <c r="O86" s="36">
        <v>6.9999999999999999E-4</v>
      </c>
      <c r="P86" s="37">
        <v>5.0000000000000001E-4</v>
      </c>
      <c r="Q86" s="65">
        <v>1.5E-3</v>
      </c>
      <c r="R86" s="66">
        <v>1.4E-3</v>
      </c>
      <c r="S86" s="38">
        <v>8.0000000000000004E-4</v>
      </c>
      <c r="T86" s="38">
        <v>6.9999999999999999E-4</v>
      </c>
      <c r="U86" s="38">
        <v>5.9999999999999995E-4</v>
      </c>
      <c r="V86" s="38">
        <v>4.0000000000000002E-4</v>
      </c>
      <c r="W86" s="38"/>
      <c r="X86" s="38"/>
      <c r="Y86" s="38"/>
      <c r="Z86" s="71">
        <v>0.01</v>
      </c>
      <c r="AA86" s="61" t="s">
        <v>10</v>
      </c>
      <c r="AB86" s="61" t="s">
        <v>10</v>
      </c>
      <c r="AC86" s="72" t="s">
        <v>352</v>
      </c>
    </row>
    <row r="87" spans="1:29" x14ac:dyDescent="0.2">
      <c r="A87" s="48" t="s">
        <v>320</v>
      </c>
      <c r="B87" s="183"/>
      <c r="C87" s="37">
        <v>2.0000000000000002E-5</v>
      </c>
      <c r="D87" s="36">
        <v>9.7000000000000005E-4</v>
      </c>
      <c r="E87" s="37">
        <v>9.7000000000000005E-4</v>
      </c>
      <c r="F87" s="38">
        <v>9.3000000000000005E-4</v>
      </c>
      <c r="G87" s="38">
        <v>7.5000000000000002E-4</v>
      </c>
      <c r="H87" s="68">
        <v>2.1000000000000001E-2</v>
      </c>
      <c r="I87" s="38">
        <v>6.4999999999999997E-4</v>
      </c>
      <c r="J87" s="38">
        <v>8.1399999999999997E-3</v>
      </c>
      <c r="K87" s="68">
        <v>1.23E-2</v>
      </c>
      <c r="L87" s="38">
        <v>1.82E-3</v>
      </c>
      <c r="M87" s="38">
        <v>1.8699999999999999E-3</v>
      </c>
      <c r="N87" s="38">
        <v>3.4000000000000002E-4</v>
      </c>
      <c r="O87" s="36">
        <v>4.2999999999999999E-4</v>
      </c>
      <c r="P87" s="37">
        <v>4.0999999999999999E-4</v>
      </c>
      <c r="Q87" s="36">
        <v>7.62E-3</v>
      </c>
      <c r="R87" s="37">
        <v>7.9000000000000008E-3</v>
      </c>
      <c r="S87" s="68">
        <v>1.72E-2</v>
      </c>
      <c r="T87" s="38">
        <v>9.2000000000000003E-4</v>
      </c>
      <c r="U87" s="38">
        <v>8.3499999999999998E-3</v>
      </c>
      <c r="V87" s="38">
        <v>3.0000000000000001E-3</v>
      </c>
      <c r="W87" s="38"/>
      <c r="X87" s="38"/>
      <c r="Y87" s="38"/>
      <c r="Z87" s="71">
        <v>8.9999999999999993E-3</v>
      </c>
      <c r="AA87" s="61" t="s">
        <v>10</v>
      </c>
      <c r="AB87" s="61" t="s">
        <v>10</v>
      </c>
      <c r="AC87" s="72" t="s">
        <v>255</v>
      </c>
    </row>
    <row r="88" spans="1:29" ht="14.25" x14ac:dyDescent="0.2">
      <c r="A88" s="48" t="s">
        <v>321</v>
      </c>
      <c r="B88" s="183"/>
      <c r="C88" s="37">
        <v>1E-3</v>
      </c>
      <c r="D88" s="65">
        <v>2E-3</v>
      </c>
      <c r="E88" s="66">
        <v>3.0000000000000001E-3</v>
      </c>
      <c r="F88" s="38">
        <v>1E-3</v>
      </c>
      <c r="G88" s="38">
        <v>3.0000000000000001E-3</v>
      </c>
      <c r="H88" s="38">
        <v>1E-3</v>
      </c>
      <c r="I88" s="38">
        <v>1E-3</v>
      </c>
      <c r="J88" s="38">
        <v>1E-3</v>
      </c>
      <c r="K88" s="38">
        <v>2E-3</v>
      </c>
      <c r="L88" s="38">
        <v>1E-3</v>
      </c>
      <c r="M88" s="38">
        <v>1E-3</v>
      </c>
      <c r="N88" s="38">
        <v>1E-3</v>
      </c>
      <c r="O88" s="36">
        <v>1E-3</v>
      </c>
      <c r="P88" s="37">
        <v>1E-3</v>
      </c>
      <c r="Q88" s="36">
        <v>1E-3</v>
      </c>
      <c r="R88" s="37">
        <v>1E-3</v>
      </c>
      <c r="S88" s="38">
        <v>1E-3</v>
      </c>
      <c r="T88" s="38">
        <v>7.0000000000000001E-3</v>
      </c>
      <c r="U88" s="38">
        <v>3.0000000000000001E-3</v>
      </c>
      <c r="V88" s="38">
        <v>4.0000000000000001E-3</v>
      </c>
      <c r="W88" s="38"/>
      <c r="X88" s="38"/>
      <c r="Y88" s="38"/>
      <c r="Z88" s="71" t="s">
        <v>277</v>
      </c>
      <c r="AA88" s="101">
        <v>0.3</v>
      </c>
      <c r="AB88" s="102">
        <v>0.6</v>
      </c>
      <c r="AC88" s="72" t="s">
        <v>358</v>
      </c>
    </row>
    <row r="89" spans="1:29" ht="14.25" x14ac:dyDescent="0.2">
      <c r="A89" s="48" t="s">
        <v>322</v>
      </c>
      <c r="B89" s="183"/>
      <c r="C89" s="37">
        <v>1E-4</v>
      </c>
      <c r="D89" s="36">
        <v>2.9999999999999997E-4</v>
      </c>
      <c r="E89" s="37">
        <v>2.9999999999999997E-4</v>
      </c>
      <c r="F89" s="38">
        <v>2.0000000000000001E-4</v>
      </c>
      <c r="G89" s="38">
        <v>1E-4</v>
      </c>
      <c r="H89" s="38">
        <v>1E-4</v>
      </c>
      <c r="I89" s="38">
        <v>1E-4</v>
      </c>
      <c r="J89" s="38">
        <v>1E-4</v>
      </c>
      <c r="K89" s="38">
        <v>8.0000000000000004E-4</v>
      </c>
      <c r="L89" s="38">
        <v>1E-4</v>
      </c>
      <c r="M89" s="38">
        <v>1E-4</v>
      </c>
      <c r="N89" s="38">
        <v>1E-4</v>
      </c>
      <c r="O89" s="36">
        <v>1E-4</v>
      </c>
      <c r="P89" s="37">
        <v>1E-4</v>
      </c>
      <c r="Q89" s="36">
        <v>2.0000000000000001E-4</v>
      </c>
      <c r="R89" s="37">
        <v>1E-4</v>
      </c>
      <c r="S89" s="38">
        <v>1E-4</v>
      </c>
      <c r="T89" s="38">
        <v>1E-4</v>
      </c>
      <c r="U89" s="38">
        <v>1E-4</v>
      </c>
      <c r="V89" s="38">
        <v>1E-4</v>
      </c>
      <c r="W89" s="38"/>
      <c r="X89" s="38"/>
      <c r="Y89" s="38"/>
      <c r="Z89" s="71" t="s">
        <v>281</v>
      </c>
      <c r="AA89" s="101">
        <v>0.2</v>
      </c>
      <c r="AB89" s="102">
        <v>0.4</v>
      </c>
      <c r="AC89" s="72" t="s">
        <v>357</v>
      </c>
    </row>
    <row r="90" spans="1:29" x14ac:dyDescent="0.2">
      <c r="A90" s="48" t="s">
        <v>323</v>
      </c>
      <c r="B90" s="183"/>
      <c r="C90" s="37">
        <v>1E-3</v>
      </c>
      <c r="D90" s="36">
        <v>1E-3</v>
      </c>
      <c r="E90" s="37">
        <v>1E-3</v>
      </c>
      <c r="F90" s="38">
        <v>1E-3</v>
      </c>
      <c r="G90" s="38">
        <v>1E-3</v>
      </c>
      <c r="H90" s="38">
        <v>1E-3</v>
      </c>
      <c r="I90" s="38">
        <v>7.0000000000000001E-3</v>
      </c>
      <c r="J90" s="38">
        <v>1E-3</v>
      </c>
      <c r="K90" s="38">
        <v>2.5000000000000001E-2</v>
      </c>
      <c r="L90" s="38">
        <v>2E-3</v>
      </c>
      <c r="M90" s="38">
        <v>3.0000000000000001E-3</v>
      </c>
      <c r="N90" s="38">
        <v>2.3E-2</v>
      </c>
      <c r="O90" s="36">
        <v>0.02</v>
      </c>
      <c r="P90" s="37">
        <v>2.1000000000000001E-2</v>
      </c>
      <c r="Q90" s="36">
        <v>1E-3</v>
      </c>
      <c r="R90" s="37">
        <v>1E-3</v>
      </c>
      <c r="S90" s="38">
        <v>1E-3</v>
      </c>
      <c r="T90" s="38">
        <v>2E-3</v>
      </c>
      <c r="U90" s="38">
        <v>1E-3</v>
      </c>
      <c r="V90" s="38">
        <v>1E-3</v>
      </c>
      <c r="W90" s="38"/>
      <c r="X90" s="38"/>
      <c r="Y90" s="38"/>
      <c r="Z90" s="60" t="s">
        <v>10</v>
      </c>
      <c r="AA90" s="61" t="s">
        <v>10</v>
      </c>
      <c r="AB90" s="61" t="s">
        <v>10</v>
      </c>
      <c r="AC90" s="72" t="s">
        <v>255</v>
      </c>
    </row>
    <row r="91" spans="1:29" x14ac:dyDescent="0.2">
      <c r="A91" s="48" t="s">
        <v>324</v>
      </c>
      <c r="B91" s="183"/>
      <c r="C91" s="37">
        <v>1E-4</v>
      </c>
      <c r="D91" s="36">
        <v>2.9999999999999997E-4</v>
      </c>
      <c r="E91" s="37">
        <v>1E-4</v>
      </c>
      <c r="F91" s="38">
        <v>1E-4</v>
      </c>
      <c r="G91" s="38">
        <v>1E-4</v>
      </c>
      <c r="H91" s="38">
        <v>2.9999999999999997E-4</v>
      </c>
      <c r="I91" s="38">
        <v>2.0000000000000001E-4</v>
      </c>
      <c r="J91" s="38">
        <v>8.9999999999999998E-4</v>
      </c>
      <c r="K91" s="38">
        <v>5.0000000000000001E-3</v>
      </c>
      <c r="L91" s="38">
        <v>8.6999999999999994E-3</v>
      </c>
      <c r="M91" s="38">
        <v>7.1000000000000004E-3</v>
      </c>
      <c r="N91" s="38">
        <v>1E-4</v>
      </c>
      <c r="O91" s="36">
        <v>1E-4</v>
      </c>
      <c r="P91" s="37">
        <v>1E-4</v>
      </c>
      <c r="Q91" s="36">
        <v>1E-4</v>
      </c>
      <c r="R91" s="37">
        <v>1E-4</v>
      </c>
      <c r="S91" s="38">
        <v>3.7000000000000002E-3</v>
      </c>
      <c r="T91" s="38">
        <v>1E-4</v>
      </c>
      <c r="U91" s="38">
        <v>6.9999999999999999E-4</v>
      </c>
      <c r="V91" s="38">
        <v>2.9999999999999997E-4</v>
      </c>
      <c r="W91" s="38"/>
      <c r="X91" s="38"/>
      <c r="Y91" s="38"/>
      <c r="Z91" s="71">
        <v>10</v>
      </c>
      <c r="AA91" s="61" t="s">
        <v>10</v>
      </c>
      <c r="AB91" s="61" t="s">
        <v>10</v>
      </c>
      <c r="AC91" s="72">
        <v>7.2999999999999995E-2</v>
      </c>
    </row>
    <row r="92" spans="1:29" ht="14.25" x14ac:dyDescent="0.2">
      <c r="A92" s="48" t="s">
        <v>325</v>
      </c>
      <c r="B92" s="183"/>
      <c r="C92" s="37">
        <v>1E-3</v>
      </c>
      <c r="D92" s="36">
        <v>1E-3</v>
      </c>
      <c r="E92" s="37">
        <v>1E-3</v>
      </c>
      <c r="F92" s="38">
        <v>1E-3</v>
      </c>
      <c r="G92" s="38">
        <v>3.0000000000000001E-3</v>
      </c>
      <c r="H92" s="38">
        <v>8.0000000000000002E-3</v>
      </c>
      <c r="I92" s="38">
        <v>2E-3</v>
      </c>
      <c r="J92" s="38">
        <v>4.0000000000000001E-3</v>
      </c>
      <c r="K92" s="38">
        <v>8.0000000000000002E-3</v>
      </c>
      <c r="L92" s="38">
        <v>5.0000000000000001E-3</v>
      </c>
      <c r="M92" s="38">
        <v>5.0000000000000001E-3</v>
      </c>
      <c r="N92" s="38">
        <v>3.0000000000000001E-3</v>
      </c>
      <c r="O92" s="36">
        <v>4.0000000000000001E-3</v>
      </c>
      <c r="P92" s="37">
        <v>4.0000000000000001E-3</v>
      </c>
      <c r="Q92" s="36">
        <v>8.9999999999999993E-3</v>
      </c>
      <c r="R92" s="37">
        <v>8.9999999999999993E-3</v>
      </c>
      <c r="S92" s="38">
        <v>5.0000000000000001E-3</v>
      </c>
      <c r="T92" s="38">
        <v>2E-3</v>
      </c>
      <c r="U92" s="38">
        <v>4.0000000000000001E-3</v>
      </c>
      <c r="V92" s="38">
        <v>2E-3</v>
      </c>
      <c r="W92" s="38"/>
      <c r="X92" s="38"/>
      <c r="Y92" s="38"/>
      <c r="Z92" s="71" t="s">
        <v>288</v>
      </c>
      <c r="AA92" s="101">
        <v>0.5</v>
      </c>
      <c r="AB92" s="102">
        <v>1</v>
      </c>
      <c r="AC92" s="72" t="s">
        <v>356</v>
      </c>
    </row>
    <row r="93" spans="1:29" x14ac:dyDescent="0.2">
      <c r="A93" s="48" t="s">
        <v>326</v>
      </c>
      <c r="B93" s="183"/>
      <c r="C93" s="37">
        <v>5.9999999999999995E-4</v>
      </c>
      <c r="D93" s="36">
        <v>5.9999999999999995E-4</v>
      </c>
      <c r="E93" s="37">
        <v>5.9999999999999995E-4</v>
      </c>
      <c r="F93" s="38">
        <v>5.9999999999999995E-4</v>
      </c>
      <c r="G93" s="38">
        <v>5.9999999999999995E-4</v>
      </c>
      <c r="H93" s="38">
        <v>8.9999999999999998E-4</v>
      </c>
      <c r="I93" s="38">
        <v>5.9999999999999995E-4</v>
      </c>
      <c r="J93" s="38">
        <v>5.9999999999999995E-4</v>
      </c>
      <c r="K93" s="38">
        <v>5.9999999999999995E-4</v>
      </c>
      <c r="L93" s="38">
        <v>5.9999999999999995E-4</v>
      </c>
      <c r="M93" s="38">
        <v>5.9999999999999995E-4</v>
      </c>
      <c r="N93" s="49">
        <v>1.6000000000000001E-3</v>
      </c>
      <c r="O93" s="65">
        <v>1.4E-3</v>
      </c>
      <c r="P93" s="66">
        <v>1.2999999999999999E-3</v>
      </c>
      <c r="Q93" s="36">
        <v>5.9999999999999995E-4</v>
      </c>
      <c r="R93" s="37">
        <v>5.9999999999999995E-4</v>
      </c>
      <c r="S93" s="38">
        <v>5.9999999999999995E-4</v>
      </c>
      <c r="T93" s="38">
        <v>5.9999999999999995E-4</v>
      </c>
      <c r="U93" s="38">
        <v>5.9999999999999995E-4</v>
      </c>
      <c r="V93" s="38">
        <v>5.9999999999999995E-4</v>
      </c>
      <c r="W93" s="38"/>
      <c r="X93" s="38"/>
      <c r="Y93" s="38"/>
      <c r="Z93" s="71">
        <v>0.01</v>
      </c>
      <c r="AA93" s="61" t="s">
        <v>10</v>
      </c>
      <c r="AB93" s="61" t="s">
        <v>10</v>
      </c>
      <c r="AC93" s="72">
        <v>1E-3</v>
      </c>
    </row>
    <row r="94" spans="1:29" ht="14.25" x14ac:dyDescent="0.2">
      <c r="A94" s="48" t="s">
        <v>327</v>
      </c>
      <c r="B94" s="183"/>
      <c r="C94" s="37">
        <v>1.0000000000000001E-5</v>
      </c>
      <c r="D94" s="107">
        <v>8.0000000000000007E-5</v>
      </c>
      <c r="E94" s="108">
        <v>1.0000000000000001E-5</v>
      </c>
      <c r="F94" s="103">
        <v>1.0000000000000001E-5</v>
      </c>
      <c r="G94" s="103">
        <v>1.0000000000000001E-5</v>
      </c>
      <c r="H94" s="103">
        <v>1.0000000000000001E-5</v>
      </c>
      <c r="I94" s="103">
        <v>1.0000000000000001E-5</v>
      </c>
      <c r="J94" s="103">
        <v>1.0000000000000001E-5</v>
      </c>
      <c r="K94" s="103">
        <v>1.0000000000000001E-5</v>
      </c>
      <c r="L94" s="103">
        <v>1.0000000000000001E-5</v>
      </c>
      <c r="M94" s="103">
        <v>1.0000000000000001E-5</v>
      </c>
      <c r="N94" s="103">
        <v>1.0000000000000001E-5</v>
      </c>
      <c r="O94" s="107">
        <v>1.0000000000000001E-5</v>
      </c>
      <c r="P94" s="108">
        <v>1.0000000000000001E-5</v>
      </c>
      <c r="Q94" s="107">
        <v>1.0000000000000001E-5</v>
      </c>
      <c r="R94" s="108">
        <v>1.0000000000000001E-5</v>
      </c>
      <c r="S94" s="103">
        <v>1.0000000000000001E-5</v>
      </c>
      <c r="T94" s="103">
        <v>1.0000000000000001E-5</v>
      </c>
      <c r="U94" s="103">
        <v>1.0000000000000001E-5</v>
      </c>
      <c r="V94" s="103">
        <v>1.0000000000000001E-5</v>
      </c>
      <c r="W94" s="38"/>
      <c r="X94" s="38"/>
      <c r="Y94" s="38"/>
      <c r="Z94" s="71" t="s">
        <v>296</v>
      </c>
      <c r="AA94" s="61" t="s">
        <v>10</v>
      </c>
      <c r="AB94" s="61" t="s">
        <v>10</v>
      </c>
      <c r="AC94" s="72">
        <v>1E-4</v>
      </c>
    </row>
    <row r="95" spans="1:29" x14ac:dyDescent="0.2">
      <c r="A95" s="48" t="s">
        <v>328</v>
      </c>
      <c r="B95" s="183"/>
      <c r="C95" s="37">
        <v>1E-3</v>
      </c>
      <c r="D95" s="36">
        <v>7.5999999999999998E-2</v>
      </c>
      <c r="E95" s="37">
        <v>7.5999999999999998E-2</v>
      </c>
      <c r="F95" s="38">
        <v>0.308</v>
      </c>
      <c r="G95" s="38">
        <v>0.80900000000000005</v>
      </c>
      <c r="H95" s="38">
        <v>1.1599999999999999</v>
      </c>
      <c r="I95" s="38">
        <v>2.0699999999999998</v>
      </c>
      <c r="J95" s="38">
        <v>1.1000000000000001</v>
      </c>
      <c r="K95" s="38">
        <v>1.18</v>
      </c>
      <c r="L95" s="38">
        <v>1.61</v>
      </c>
      <c r="M95" s="38">
        <v>1.42</v>
      </c>
      <c r="N95" s="38">
        <v>0.94799999999999995</v>
      </c>
      <c r="O95" s="36">
        <v>0.94599999999999995</v>
      </c>
      <c r="P95" s="37">
        <v>0.94199999999999995</v>
      </c>
      <c r="Q95" s="36">
        <v>0.39700000000000002</v>
      </c>
      <c r="R95" s="37">
        <v>0.41</v>
      </c>
      <c r="S95" s="38">
        <v>1.03</v>
      </c>
      <c r="T95" s="38">
        <v>0.83499999999999996</v>
      </c>
      <c r="U95" s="38">
        <v>0.73499999999999999</v>
      </c>
      <c r="V95" s="38">
        <v>0.313</v>
      </c>
      <c r="W95" s="38"/>
      <c r="X95" s="38"/>
      <c r="Y95" s="38"/>
      <c r="Z95" s="60" t="s">
        <v>10</v>
      </c>
      <c r="AA95" s="61" t="s">
        <v>10</v>
      </c>
      <c r="AB95" s="61" t="s">
        <v>10</v>
      </c>
      <c r="AC95" s="72" t="s">
        <v>255</v>
      </c>
    </row>
    <row r="96" spans="1:29" x14ac:dyDescent="0.2">
      <c r="A96" s="48" t="s">
        <v>329</v>
      </c>
      <c r="B96" s="183"/>
      <c r="C96" s="37">
        <v>1E-4</v>
      </c>
      <c r="D96" s="36">
        <v>1E-4</v>
      </c>
      <c r="E96" s="37">
        <v>1E-4</v>
      </c>
      <c r="F96" s="38">
        <v>1E-4</v>
      </c>
      <c r="G96" s="38">
        <v>1E-4</v>
      </c>
      <c r="H96" s="38">
        <v>1E-4</v>
      </c>
      <c r="I96" s="38">
        <v>1E-4</v>
      </c>
      <c r="J96" s="38">
        <v>1E-4</v>
      </c>
      <c r="K96" s="38">
        <v>1E-4</v>
      </c>
      <c r="L96" s="38">
        <v>1E-4</v>
      </c>
      <c r="M96" s="38">
        <v>1E-4</v>
      </c>
      <c r="N96" s="38">
        <v>1E-4</v>
      </c>
      <c r="O96" s="36">
        <v>1E-4</v>
      </c>
      <c r="P96" s="37">
        <v>1E-4</v>
      </c>
      <c r="Q96" s="36">
        <v>1E-4</v>
      </c>
      <c r="R96" s="37">
        <v>1E-4</v>
      </c>
      <c r="S96" s="38">
        <v>1E-4</v>
      </c>
      <c r="T96" s="38">
        <v>1E-4</v>
      </c>
      <c r="U96" s="38">
        <v>1E-4</v>
      </c>
      <c r="V96" s="38">
        <v>1E-4</v>
      </c>
      <c r="W96" s="38"/>
      <c r="X96" s="38"/>
      <c r="Y96" s="38"/>
      <c r="Z96" s="60" t="s">
        <v>10</v>
      </c>
      <c r="AA96" s="61" t="s">
        <v>10</v>
      </c>
      <c r="AB96" s="61" t="s">
        <v>10</v>
      </c>
      <c r="AC96" s="62" t="s">
        <v>10</v>
      </c>
    </row>
    <row r="97" spans="1:29" x14ac:dyDescent="0.2">
      <c r="A97" s="48" t="s">
        <v>330</v>
      </c>
      <c r="B97" s="183"/>
      <c r="C97" s="37">
        <v>1.0000000000000001E-5</v>
      </c>
      <c r="D97" s="107">
        <v>3.0000000000000001E-5</v>
      </c>
      <c r="E97" s="108">
        <v>1.0000000000000001E-5</v>
      </c>
      <c r="F97" s="103">
        <v>1.0000000000000001E-5</v>
      </c>
      <c r="G97" s="103">
        <v>1.0000000000000001E-5</v>
      </c>
      <c r="H97" s="103">
        <v>1.0000000000000001E-5</v>
      </c>
      <c r="I97" s="103">
        <v>1.0000000000000001E-5</v>
      </c>
      <c r="J97" s="103">
        <v>1.0000000000000001E-5</v>
      </c>
      <c r="K97" s="103">
        <v>2.2000000000000001E-4</v>
      </c>
      <c r="L97" s="103">
        <v>1.0000000000000001E-5</v>
      </c>
      <c r="M97" s="103">
        <v>6.0000000000000002E-5</v>
      </c>
      <c r="N97" s="103">
        <v>1.2E-4</v>
      </c>
      <c r="O97" s="107">
        <v>2.2000000000000001E-4</v>
      </c>
      <c r="P97" s="108">
        <v>2.3000000000000001E-4</v>
      </c>
      <c r="Q97" s="107">
        <v>1.0000000000000001E-5</v>
      </c>
      <c r="R97" s="108">
        <v>1.0000000000000001E-5</v>
      </c>
      <c r="S97" s="103">
        <v>1.0000000000000001E-5</v>
      </c>
      <c r="T97" s="103">
        <v>1.0000000000000001E-5</v>
      </c>
      <c r="U97" s="103">
        <v>1.0000000000000001E-5</v>
      </c>
      <c r="V97" s="103">
        <v>1.0000000000000001E-5</v>
      </c>
      <c r="W97" s="38"/>
      <c r="X97" s="38"/>
      <c r="Y97" s="38"/>
      <c r="Z97" s="71">
        <v>3.0000000000000001E-3</v>
      </c>
      <c r="AA97" s="61" t="s">
        <v>10</v>
      </c>
      <c r="AB97" s="61" t="s">
        <v>10</v>
      </c>
      <c r="AC97" s="72">
        <v>8.0000000000000004E-4</v>
      </c>
    </row>
    <row r="98" spans="1:29" x14ac:dyDescent="0.2">
      <c r="A98" s="48" t="s">
        <v>331</v>
      </c>
      <c r="B98" s="183"/>
      <c r="C98" s="37">
        <v>4.0000000000000002E-4</v>
      </c>
      <c r="D98" s="36">
        <v>4.0000000000000002E-4</v>
      </c>
      <c r="E98" s="37">
        <v>4.0000000000000002E-4</v>
      </c>
      <c r="F98" s="38">
        <v>4.0000000000000002E-4</v>
      </c>
      <c r="G98" s="38">
        <v>4.0000000000000002E-4</v>
      </c>
      <c r="H98" s="38">
        <v>4.0000000000000002E-4</v>
      </c>
      <c r="I98" s="38">
        <v>4.0000000000000002E-4</v>
      </c>
      <c r="J98" s="38">
        <v>4.0000000000000002E-4</v>
      </c>
      <c r="K98" s="38">
        <v>4.0000000000000002E-4</v>
      </c>
      <c r="L98" s="38">
        <v>4.0000000000000002E-4</v>
      </c>
      <c r="M98" s="38">
        <v>4.0000000000000002E-4</v>
      </c>
      <c r="N98" s="38">
        <v>4.0000000000000002E-4</v>
      </c>
      <c r="O98" s="36">
        <v>4.0000000000000002E-4</v>
      </c>
      <c r="P98" s="37">
        <v>4.0000000000000002E-4</v>
      </c>
      <c r="Q98" s="36">
        <v>4.0000000000000002E-4</v>
      </c>
      <c r="R98" s="37">
        <v>4.0000000000000002E-4</v>
      </c>
      <c r="S98" s="38">
        <v>4.0000000000000002E-4</v>
      </c>
      <c r="T98" s="38">
        <v>4.0000000000000002E-4</v>
      </c>
      <c r="U98" s="38">
        <v>4.0000000000000002E-4</v>
      </c>
      <c r="V98" s="38">
        <v>4.0000000000000002E-4</v>
      </c>
      <c r="W98" s="38"/>
      <c r="X98" s="38"/>
      <c r="Y98" s="38"/>
      <c r="Z98" s="60" t="s">
        <v>10</v>
      </c>
      <c r="AA98" s="61" t="s">
        <v>10</v>
      </c>
      <c r="AB98" s="61" t="s">
        <v>10</v>
      </c>
      <c r="AC98" s="62" t="s">
        <v>10</v>
      </c>
    </row>
    <row r="99" spans="1:29" x14ac:dyDescent="0.2">
      <c r="A99" s="48" t="s">
        <v>332</v>
      </c>
      <c r="B99" s="183"/>
      <c r="C99" s="37">
        <v>1E-4</v>
      </c>
      <c r="D99" s="36">
        <v>1E-4</v>
      </c>
      <c r="E99" s="37">
        <v>1E-4</v>
      </c>
      <c r="F99" s="38">
        <v>1E-4</v>
      </c>
      <c r="G99" s="38">
        <v>1E-4</v>
      </c>
      <c r="H99" s="38">
        <v>1E-4</v>
      </c>
      <c r="I99" s="38">
        <v>1E-4</v>
      </c>
      <c r="J99" s="38">
        <v>1E-4</v>
      </c>
      <c r="K99" s="38">
        <v>1E-4</v>
      </c>
      <c r="L99" s="38">
        <v>1E-4</v>
      </c>
      <c r="M99" s="38">
        <v>1E-4</v>
      </c>
      <c r="N99" s="38">
        <v>1E-4</v>
      </c>
      <c r="O99" s="36">
        <v>1E-4</v>
      </c>
      <c r="P99" s="37">
        <v>1E-4</v>
      </c>
      <c r="Q99" s="36">
        <v>1E-4</v>
      </c>
      <c r="R99" s="37">
        <v>1E-4</v>
      </c>
      <c r="S99" s="38">
        <v>1E-4</v>
      </c>
      <c r="T99" s="38">
        <v>1E-4</v>
      </c>
      <c r="U99" s="38">
        <v>1E-4</v>
      </c>
      <c r="V99" s="38">
        <v>1E-4</v>
      </c>
      <c r="W99" s="38"/>
      <c r="X99" s="38"/>
      <c r="Y99" s="38"/>
      <c r="Z99" s="60" t="s">
        <v>10</v>
      </c>
      <c r="AA99" s="61" t="s">
        <v>10</v>
      </c>
      <c r="AB99" s="61" t="s">
        <v>10</v>
      </c>
      <c r="AC99" s="72" t="s">
        <v>255</v>
      </c>
    </row>
    <row r="100" spans="1:29" x14ac:dyDescent="0.2">
      <c r="A100" s="48" t="s">
        <v>333</v>
      </c>
      <c r="B100" s="183"/>
      <c r="C100" s="37">
        <v>0.01</v>
      </c>
      <c r="D100" s="36">
        <v>0.01</v>
      </c>
      <c r="E100" s="37">
        <v>0.01</v>
      </c>
      <c r="F100" s="38">
        <v>0.01</v>
      </c>
      <c r="G100" s="38">
        <v>0.01</v>
      </c>
      <c r="H100" s="38">
        <v>0.01</v>
      </c>
      <c r="I100" s="38">
        <v>1.2E-2</v>
      </c>
      <c r="J100" s="38">
        <v>0.01</v>
      </c>
      <c r="K100" s="38">
        <v>0.01</v>
      </c>
      <c r="L100" s="38">
        <v>0.01</v>
      </c>
      <c r="M100" s="38">
        <v>0.01</v>
      </c>
      <c r="N100" s="38">
        <v>0.01</v>
      </c>
      <c r="O100" s="36">
        <v>0.01</v>
      </c>
      <c r="P100" s="37">
        <v>2.5000000000000001E-2</v>
      </c>
      <c r="Q100" s="36">
        <v>0.01</v>
      </c>
      <c r="R100" s="37">
        <v>1.0999999999999999E-2</v>
      </c>
      <c r="S100" s="38">
        <v>0.01</v>
      </c>
      <c r="T100" s="38">
        <v>0.01</v>
      </c>
      <c r="U100" s="38">
        <v>1.4E-2</v>
      </c>
      <c r="V100" s="38">
        <v>0.01</v>
      </c>
      <c r="W100" s="38"/>
      <c r="X100" s="38"/>
      <c r="Y100" s="38"/>
      <c r="Z100" s="71">
        <v>1</v>
      </c>
      <c r="AA100" s="61" t="s">
        <v>10</v>
      </c>
      <c r="AB100" s="61" t="s">
        <v>10</v>
      </c>
      <c r="AC100" s="72" t="s">
        <v>255</v>
      </c>
    </row>
    <row r="101" spans="1:29" x14ac:dyDescent="0.2">
      <c r="A101" s="48" t="s">
        <v>334</v>
      </c>
      <c r="B101" s="183"/>
      <c r="C101" s="37">
        <v>4.0000000000000002E-4</v>
      </c>
      <c r="D101" s="36">
        <v>4.0000000000000002E-4</v>
      </c>
      <c r="E101" s="37">
        <v>4.0000000000000002E-4</v>
      </c>
      <c r="F101" s="38">
        <v>4.0000000000000002E-4</v>
      </c>
      <c r="G101" s="38">
        <v>4.4000000000000003E-3</v>
      </c>
      <c r="H101" s="38">
        <v>1.4E-3</v>
      </c>
      <c r="I101" s="38">
        <v>6.1999999999999998E-3</v>
      </c>
      <c r="J101" s="38">
        <v>8.9999999999999998E-4</v>
      </c>
      <c r="K101" s="38">
        <v>4.0000000000000002E-4</v>
      </c>
      <c r="L101" s="38">
        <v>4.0000000000000002E-4</v>
      </c>
      <c r="M101" s="38">
        <v>4.0000000000000002E-4</v>
      </c>
      <c r="N101" s="38">
        <v>5.5999999999999999E-3</v>
      </c>
      <c r="O101" s="36">
        <v>5.4000000000000003E-3</v>
      </c>
      <c r="P101" s="37">
        <v>5.5999999999999999E-3</v>
      </c>
      <c r="Q101" s="36">
        <v>5.9999999999999995E-4</v>
      </c>
      <c r="R101" s="37">
        <v>5.9999999999999995E-4</v>
      </c>
      <c r="S101" s="38">
        <v>2.2000000000000001E-3</v>
      </c>
      <c r="T101" s="38">
        <v>3.5000000000000001E-3</v>
      </c>
      <c r="U101" s="38">
        <v>2.0999999999999999E-3</v>
      </c>
      <c r="V101" s="38">
        <v>1.6000000000000001E-3</v>
      </c>
      <c r="W101" s="38"/>
      <c r="X101" s="38"/>
      <c r="Y101" s="38"/>
      <c r="Z101" s="71">
        <v>3</v>
      </c>
      <c r="AA101" s="61" t="s">
        <v>10</v>
      </c>
      <c r="AB101" s="61" t="s">
        <v>10</v>
      </c>
      <c r="AC101" s="72">
        <v>1.4999999999999999E-2</v>
      </c>
    </row>
    <row r="102" spans="1:29" x14ac:dyDescent="0.2">
      <c r="A102" s="48" t="s">
        <v>335</v>
      </c>
      <c r="B102" s="183"/>
      <c r="C102" s="37">
        <v>1E-4</v>
      </c>
      <c r="D102" s="36">
        <v>1.8E-3</v>
      </c>
      <c r="E102" s="37">
        <v>1.6000000000000001E-3</v>
      </c>
      <c r="F102" s="38">
        <v>6.9999999999999999E-4</v>
      </c>
      <c r="G102" s="38">
        <v>2.0000000000000001E-4</v>
      </c>
      <c r="H102" s="38">
        <v>3.0999999999999999E-3</v>
      </c>
      <c r="I102" s="38">
        <v>2.0000000000000001E-4</v>
      </c>
      <c r="J102" s="38">
        <v>3.8E-3</v>
      </c>
      <c r="K102" s="38">
        <v>1E-4</v>
      </c>
      <c r="L102" s="38">
        <v>2.0000000000000001E-4</v>
      </c>
      <c r="M102" s="38">
        <v>2.0000000000000001E-4</v>
      </c>
      <c r="N102" s="38">
        <v>4.0000000000000002E-4</v>
      </c>
      <c r="O102" s="36">
        <v>2.0000000000000001E-4</v>
      </c>
      <c r="P102" s="37">
        <v>2.0000000000000001E-4</v>
      </c>
      <c r="Q102" s="36">
        <v>1.9E-3</v>
      </c>
      <c r="R102" s="37">
        <v>2E-3</v>
      </c>
      <c r="S102" s="38">
        <v>1.4E-3</v>
      </c>
      <c r="T102" s="38">
        <v>2.9999999999999997E-4</v>
      </c>
      <c r="U102" s="38">
        <v>1E-3</v>
      </c>
      <c r="V102" s="38">
        <v>1E-4</v>
      </c>
      <c r="W102" s="38"/>
      <c r="X102" s="38"/>
      <c r="Y102" s="38"/>
      <c r="Z102" s="60" t="s">
        <v>10</v>
      </c>
      <c r="AA102" s="61" t="s">
        <v>10</v>
      </c>
      <c r="AB102" s="61" t="s">
        <v>10</v>
      </c>
      <c r="AC102" s="72" t="s">
        <v>255</v>
      </c>
    </row>
    <row r="103" spans="1:29" ht="14.25" x14ac:dyDescent="0.2">
      <c r="A103" s="48" t="s">
        <v>336</v>
      </c>
      <c r="B103" s="183"/>
      <c r="C103" s="37">
        <v>1E-3</v>
      </c>
      <c r="D103" s="36">
        <v>2.1999999999999999E-2</v>
      </c>
      <c r="E103" s="37">
        <v>2.1999999999999999E-2</v>
      </c>
      <c r="F103" s="38">
        <v>5.0000000000000001E-3</v>
      </c>
      <c r="G103" s="38">
        <v>5.0000000000000001E-3</v>
      </c>
      <c r="H103" s="38">
        <v>2.5000000000000001E-2</v>
      </c>
      <c r="I103" s="38">
        <v>2E-3</v>
      </c>
      <c r="J103" s="38">
        <v>2E-3</v>
      </c>
      <c r="K103" s="49">
        <v>0.41399999999999998</v>
      </c>
      <c r="L103" s="38">
        <v>3.0000000000000001E-3</v>
      </c>
      <c r="M103" s="49">
        <v>0.124</v>
      </c>
      <c r="N103" s="38">
        <v>2E-3</v>
      </c>
      <c r="O103" s="36">
        <v>3.0000000000000001E-3</v>
      </c>
      <c r="P103" s="37">
        <v>3.0000000000000001E-3</v>
      </c>
      <c r="Q103" s="36">
        <v>5.0000000000000001E-3</v>
      </c>
      <c r="R103" s="37">
        <v>4.0000000000000001E-3</v>
      </c>
      <c r="S103" s="49">
        <v>0.47099999999999997</v>
      </c>
      <c r="T103" s="38">
        <v>1.2E-2</v>
      </c>
      <c r="U103" s="38">
        <v>6.0000000000000001E-3</v>
      </c>
      <c r="V103" s="38">
        <v>4.0000000000000001E-3</v>
      </c>
      <c r="W103" s="38"/>
      <c r="X103" s="38"/>
      <c r="Y103" s="38"/>
      <c r="Z103" s="71" t="s">
        <v>308</v>
      </c>
      <c r="AA103" s="101">
        <v>0.5</v>
      </c>
      <c r="AB103" s="102">
        <v>1</v>
      </c>
      <c r="AC103" s="72">
        <v>0.03</v>
      </c>
    </row>
    <row r="104" spans="1:29" ht="13.5" thickBot="1" x14ac:dyDescent="0.25">
      <c r="A104" s="50" t="s">
        <v>337</v>
      </c>
      <c r="B104" s="184"/>
      <c r="C104" s="41">
        <v>1E-4</v>
      </c>
      <c r="D104" s="40">
        <v>2.0000000000000001E-4</v>
      </c>
      <c r="E104" s="41">
        <v>2.0000000000000001E-4</v>
      </c>
      <c r="F104" s="42">
        <v>1E-4</v>
      </c>
      <c r="G104" s="42">
        <v>1E-4</v>
      </c>
      <c r="H104" s="42">
        <v>1.1000000000000001E-3</v>
      </c>
      <c r="I104" s="42">
        <v>1E-4</v>
      </c>
      <c r="J104" s="42">
        <v>1.5E-3</v>
      </c>
      <c r="K104" s="42">
        <v>1E-4</v>
      </c>
      <c r="L104" s="42">
        <v>1E-4</v>
      </c>
      <c r="M104" s="42">
        <v>1E-4</v>
      </c>
      <c r="N104" s="42">
        <v>1E-4</v>
      </c>
      <c r="O104" s="40">
        <v>1E-4</v>
      </c>
      <c r="P104" s="41">
        <v>1E-4</v>
      </c>
      <c r="Q104" s="40">
        <v>5.9999999999999995E-4</v>
      </c>
      <c r="R104" s="41">
        <v>5.9999999999999995E-4</v>
      </c>
      <c r="S104" s="42">
        <v>5.9999999999999995E-4</v>
      </c>
      <c r="T104" s="42">
        <v>1E-4</v>
      </c>
      <c r="U104" s="42">
        <v>4.0000000000000002E-4</v>
      </c>
      <c r="V104" s="42">
        <v>1E-4</v>
      </c>
      <c r="W104" s="42"/>
      <c r="X104" s="42"/>
      <c r="Y104" s="42"/>
      <c r="Z104" s="78" t="s">
        <v>10</v>
      </c>
      <c r="AA104" s="79" t="s">
        <v>10</v>
      </c>
      <c r="AB104" s="79" t="s">
        <v>10</v>
      </c>
      <c r="AC104" s="80" t="s">
        <v>10</v>
      </c>
    </row>
    <row r="105" spans="1:29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x14ac:dyDescent="0.2">
      <c r="A106" t="s">
        <v>338</v>
      </c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</row>
    <row r="107" spans="1:29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</row>
    <row r="108" spans="1:29" x14ac:dyDescent="0.2">
      <c r="A108" t="s">
        <v>339</v>
      </c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</row>
    <row r="109" spans="1:29" x14ac:dyDescent="0.2">
      <c r="A109" s="122" t="s">
        <v>340</v>
      </c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</row>
    <row r="110" spans="1:29" ht="15" x14ac:dyDescent="0.25">
      <c r="A110" s="123" t="s">
        <v>341</v>
      </c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</row>
    <row r="111" spans="1:29" ht="14.25" x14ac:dyDescent="0.2">
      <c r="A111" s="124" t="s">
        <v>342</v>
      </c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</row>
    <row r="112" spans="1:29" ht="14.25" x14ac:dyDescent="0.2">
      <c r="A112" s="125" t="s">
        <v>362</v>
      </c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</row>
    <row r="113" spans="1:29" x14ac:dyDescent="0.2">
      <c r="A113" s="129" t="s">
        <v>349</v>
      </c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</row>
    <row r="114" spans="1:29" x14ac:dyDescent="0.2">
      <c r="A114" s="129" t="s">
        <v>348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</row>
    <row r="115" spans="1:29" x14ac:dyDescent="0.2">
      <c r="A115" s="129" t="s">
        <v>363</v>
      </c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</row>
    <row r="116" spans="1:29" x14ac:dyDescent="0.2">
      <c r="A116" s="129" t="s">
        <v>353</v>
      </c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</row>
    <row r="117" spans="1:29" x14ac:dyDescent="0.2">
      <c r="A117" s="129" t="s">
        <v>360</v>
      </c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</row>
    <row r="118" spans="1:29" x14ac:dyDescent="0.2">
      <c r="A118" s="129" t="s">
        <v>354</v>
      </c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</row>
    <row r="119" spans="1:29" x14ac:dyDescent="0.2">
      <c r="A119" s="129" t="s">
        <v>355</v>
      </c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x14ac:dyDescent="0.2">
      <c r="A120" s="129" t="s">
        <v>359</v>
      </c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</row>
    <row r="121" spans="1:29" x14ac:dyDescent="0.2">
      <c r="A121" t="s">
        <v>343</v>
      </c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</row>
    <row r="122" spans="1:29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</row>
    <row r="123" spans="1:29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</row>
  </sheetData>
  <mergeCells count="60">
    <mergeCell ref="B78:B104"/>
    <mergeCell ref="A9:AC9"/>
    <mergeCell ref="A16:AC16"/>
    <mergeCell ref="A21:AC21"/>
    <mergeCell ref="A40:AC40"/>
    <mergeCell ref="A77:AC77"/>
    <mergeCell ref="B22:B39"/>
    <mergeCell ref="B41:B76"/>
    <mergeCell ref="D15:E15"/>
    <mergeCell ref="O15:P15"/>
    <mergeCell ref="Q15:R15"/>
    <mergeCell ref="D13:E13"/>
    <mergeCell ref="O13:P13"/>
    <mergeCell ref="Q13:R13"/>
    <mergeCell ref="D14:E14"/>
    <mergeCell ref="O14:P14"/>
    <mergeCell ref="Q14:R14"/>
    <mergeCell ref="D11:E11"/>
    <mergeCell ref="O11:P11"/>
    <mergeCell ref="Q11:R11"/>
    <mergeCell ref="D12:E12"/>
    <mergeCell ref="O12:P12"/>
    <mergeCell ref="Q12:R12"/>
    <mergeCell ref="A6:C6"/>
    <mergeCell ref="D8:Y8"/>
    <mergeCell ref="D10:E10"/>
    <mergeCell ref="O10:P10"/>
    <mergeCell ref="Q10:R10"/>
    <mergeCell ref="A7:AC7"/>
    <mergeCell ref="Z2:Z6"/>
    <mergeCell ref="AA2:AA6"/>
    <mergeCell ref="A3:C3"/>
    <mergeCell ref="A4:C4"/>
    <mergeCell ref="D4:E4"/>
    <mergeCell ref="O4:P4"/>
    <mergeCell ref="Q4:R4"/>
    <mergeCell ref="A5:C5"/>
    <mergeCell ref="U2:U3"/>
    <mergeCell ref="V2:V3"/>
    <mergeCell ref="W2:W3"/>
    <mergeCell ref="X2:X3"/>
    <mergeCell ref="Y2:Y3"/>
    <mergeCell ref="Z8:AC8"/>
    <mergeCell ref="M2:M3"/>
    <mergeCell ref="N2:N3"/>
    <mergeCell ref="O2:P2"/>
    <mergeCell ref="Q2:R2"/>
    <mergeCell ref="S2:S3"/>
    <mergeCell ref="T2:T3"/>
    <mergeCell ref="AB2:AB6"/>
    <mergeCell ref="AC2:AC6"/>
    <mergeCell ref="I2:I3"/>
    <mergeCell ref="J2:J3"/>
    <mergeCell ref="K2:K3"/>
    <mergeCell ref="L2:L3"/>
    <mergeCell ref="A2:C2"/>
    <mergeCell ref="D2:E2"/>
    <mergeCell ref="F2:F3"/>
    <mergeCell ref="G2:G3"/>
    <mergeCell ref="H2:H3"/>
  </mergeCells>
  <printOptions horizontalCentered="1"/>
  <pageMargins left="0.35433070866141703" right="0.31496062992126" top="1.14173228346457" bottom="0.98425196850393704" header="0.511811023622047" footer="0.511811023622047"/>
  <pageSetup paperSize="3" scale="60" fitToHeight="0" orientation="landscape" horizontalDpi="300" r:id="rId1"/>
  <headerFooter scaleWithDoc="0" alignWithMargins="0">
    <oddHeader>&amp;R&amp;"Gill Sans MT,Regular"&amp;9&amp;K06+000GROUNDWATER SAMPLING METHODS AND RESULTS REPORT, MT NANSEN, YT
EBA FILE: W23101586 | NOVEMBER5, 2012 | ISSUED FOR USE</oddHeader>
    <oddFooter>&amp;L&amp;6&amp;K06+000&amp;F
&amp;G&amp;C&amp;"Gill Sans MT,Regular"&amp;9&amp;K04+000&amp;P&amp;R&amp;G</oddFooter>
  </headerFooter>
  <rowBreaks count="1" manualBreakCount="1">
    <brk id="76" max="16383" man="1"/>
  </row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Well Condition</vt:lpstr>
      <vt:lpstr>HC Results</vt:lpstr>
      <vt:lpstr>Work Completed</vt:lpstr>
      <vt:lpstr>HC Input Data</vt:lpstr>
      <vt:lpstr>Chemistry</vt:lpstr>
      <vt:lpstr>'Well Condition'!Print_Area</vt:lpstr>
      <vt:lpstr>Chemistry!Print_Titles</vt:lpstr>
      <vt:lpstr>'Work Completed'!Print_Titles</vt:lpstr>
    </vt:vector>
  </TitlesOfParts>
  <Company>EBA Engineering Consultants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Coles</dc:creator>
  <cp:lastModifiedBy>Remillard, Chantal</cp:lastModifiedBy>
  <cp:lastPrinted>2012-08-09T00:43:01Z</cp:lastPrinted>
  <dcterms:created xsi:type="dcterms:W3CDTF">2010-10-19T21:11:53Z</dcterms:created>
  <dcterms:modified xsi:type="dcterms:W3CDTF">2013-01-18T19:39:58Z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ews">
    <vt:lpwstr>Data</vt:lpwstr>
  </property>
  <property fmtid="{D5CDD505-2E9C-101B-9397-08002B2CF9AE}" pid="3" name="Data Type">
    <vt:lpwstr/>
  </property>
  <property fmtid="{D5CDD505-2E9C-101B-9397-08002B2CF9AE}" pid="4" name="Test Type">
    <vt:lpwstr/>
  </property>
  <property fmtid="{D5CDD505-2E9C-101B-9397-08002B2CF9AE}" pid="5" name="Status">
    <vt:lpwstr/>
  </property>
  <property fmtid="{D5CDD505-2E9C-101B-9397-08002B2CF9AE}" pid="6" name="Issued">
    <vt:lpwstr/>
  </property>
  <property fmtid="{D5CDD505-2E9C-101B-9397-08002B2CF9AE}" pid="7" name="Location">
    <vt:lpwstr/>
  </property>
  <property fmtid="{D5CDD505-2E9C-101B-9397-08002B2CF9AE}" pid="8" name="Flag for Review">
    <vt:lpwstr>0</vt:lpwstr>
  </property>
</Properties>
</file>