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5600" windowHeight="7995" activeTab="2"/>
  </bookViews>
  <sheets>
    <sheet name="Results" sheetId="2" r:id="rId1"/>
    <sheet name="Overall" sheetId="4" r:id="rId2"/>
    <sheet name="CN-1" sheetId="1" r:id="rId3"/>
  </sheets>
  <definedNames>
    <definedName name="_xlnm.Print_Area" localSheetId="2">'CN-1'!$A$1:$P$41</definedName>
    <definedName name="solver_adj" localSheetId="2" hidden="1">'CN-1'!#REF!</definedName>
    <definedName name="solver_cvg" localSheetId="2" hidden="1">0.0001</definedName>
    <definedName name="solver_drv" localSheetId="2" hidden="1">1</definedName>
    <definedName name="solver_est" localSheetId="2" hidden="1">1</definedName>
    <definedName name="solver_itr" localSheetId="2" hidden="1">100</definedName>
    <definedName name="solver_lin" localSheetId="2" hidden="1">2</definedName>
    <definedName name="solver_neg" localSheetId="2" hidden="1">2</definedName>
    <definedName name="solver_num" localSheetId="2" hidden="1">0</definedName>
    <definedName name="solver_nwt" localSheetId="2" hidden="1">1</definedName>
    <definedName name="solver_opt" localSheetId="2" hidden="1">'CN-1'!#REF!</definedName>
    <definedName name="solver_pre" localSheetId="2" hidden="1">0.000001</definedName>
    <definedName name="solver_scl" localSheetId="2" hidden="1">2</definedName>
    <definedName name="solver_sho" localSheetId="2" hidden="1">2</definedName>
    <definedName name="solver_tim" localSheetId="2" hidden="1">100</definedName>
    <definedName name="solver_tol" localSheetId="2" hidden="1">0.05</definedName>
    <definedName name="solver_typ" localSheetId="2" hidden="1">2</definedName>
    <definedName name="solver_val" localSheetId="2" hidden="1">0</definedName>
  </definedNames>
  <calcPr calcId="125725"/>
</workbook>
</file>

<file path=xl/calcChain.xml><?xml version="1.0" encoding="utf-8"?>
<calcChain xmlns="http://schemas.openxmlformats.org/spreadsheetml/2006/main">
  <c r="F7" i="4"/>
  <c r="J39" i="1" l="1"/>
  <c r="I39"/>
  <c r="D40"/>
  <c r="J36"/>
  <c r="J37"/>
  <c r="J38"/>
  <c r="F13" i="4"/>
  <c r="F14" s="1"/>
  <c r="F10"/>
  <c r="F11" s="1"/>
  <c r="F8"/>
  <c r="D9" i="1"/>
  <c r="M10"/>
  <c r="N10"/>
  <c r="C11"/>
  <c r="C12" s="1"/>
  <c r="H12"/>
  <c r="I12"/>
  <c r="A24"/>
  <c r="D24"/>
  <c r="E24"/>
  <c r="F24"/>
  <c r="H24" s="1"/>
  <c r="G24"/>
  <c r="I24"/>
  <c r="Q24"/>
  <c r="U24"/>
  <c r="A25"/>
  <c r="D25"/>
  <c r="E25"/>
  <c r="G25"/>
  <c r="I25"/>
  <c r="Q25"/>
  <c r="F25" s="1"/>
  <c r="U25"/>
  <c r="A26"/>
  <c r="D26"/>
  <c r="E26"/>
  <c r="G26"/>
  <c r="I26"/>
  <c r="Q26"/>
  <c r="F26" s="1"/>
  <c r="U26"/>
  <c r="G37" s="1"/>
  <c r="A27"/>
  <c r="D27"/>
  <c r="E27"/>
  <c r="G27"/>
  <c r="G29" s="1"/>
  <c r="I29" s="1"/>
  <c r="I30" s="1"/>
  <c r="H46" s="1"/>
  <c r="Q27"/>
  <c r="F27" s="1"/>
  <c r="U27"/>
  <c r="F38" s="1"/>
  <c r="B29"/>
  <c r="C29"/>
  <c r="F34"/>
  <c r="G34"/>
  <c r="H34"/>
  <c r="I34"/>
  <c r="J34"/>
  <c r="K34"/>
  <c r="M34"/>
  <c r="N34"/>
  <c r="O34"/>
  <c r="A35"/>
  <c r="B35"/>
  <c r="K35" s="1"/>
  <c r="O35" s="1"/>
  <c r="F35"/>
  <c r="G35"/>
  <c r="H35"/>
  <c r="I35"/>
  <c r="A36"/>
  <c r="B36"/>
  <c r="F36"/>
  <c r="G36"/>
  <c r="H36"/>
  <c r="N36"/>
  <c r="O36"/>
  <c r="A37"/>
  <c r="B37"/>
  <c r="N37"/>
  <c r="O37"/>
  <c r="A38"/>
  <c r="B38"/>
  <c r="H38"/>
  <c r="N38"/>
  <c r="J46" s="1"/>
  <c r="O38"/>
  <c r="K46" s="1"/>
  <c r="M39"/>
  <c r="N39"/>
  <c r="O39"/>
  <c r="B40"/>
  <c r="I45"/>
  <c r="J45"/>
  <c r="K45"/>
  <c r="A46"/>
  <c r="B46"/>
  <c r="C46"/>
  <c r="D46"/>
  <c r="I27" l="1"/>
  <c r="H27"/>
  <c r="H26"/>
  <c r="H25"/>
  <c r="E29"/>
  <c r="E30" s="1"/>
  <c r="F46" s="1"/>
  <c r="D29"/>
  <c r="D30" s="1"/>
  <c r="E46" s="1"/>
  <c r="I36"/>
  <c r="I37"/>
  <c r="F37"/>
  <c r="I38" s="1"/>
  <c r="M38" s="1"/>
  <c r="I46" s="1"/>
  <c r="E40"/>
  <c r="G38"/>
  <c r="H37"/>
  <c r="J35"/>
  <c r="N35" s="1"/>
  <c r="F29"/>
  <c r="H29" s="1"/>
  <c r="H30" s="1"/>
  <c r="G46" s="1"/>
  <c r="M35" l="1"/>
  <c r="M37"/>
  <c r="C40"/>
  <c r="M36"/>
</calcChain>
</file>

<file path=xl/sharedStrings.xml><?xml version="1.0" encoding="utf-8"?>
<sst xmlns="http://schemas.openxmlformats.org/spreadsheetml/2006/main" count="137" uniqueCount="109">
  <si>
    <t>CaO</t>
  </si>
  <si>
    <t>NaCN</t>
  </si>
  <si>
    <t>Leach Time</t>
  </si>
  <si>
    <t>Grind Size (µm)</t>
  </si>
  <si>
    <t>Sample ID</t>
  </si>
  <si>
    <t>Test ID</t>
  </si>
  <si>
    <t>% Extraction</t>
  </si>
  <si>
    <t>Consumption (kg/t)</t>
  </si>
  <si>
    <t>Addition (kg/t)</t>
  </si>
  <si>
    <t>Summary Table</t>
  </si>
  <si>
    <t>Head (direct)</t>
  </si>
  <si>
    <t>Head (calc.)</t>
  </si>
  <si>
    <t>Residue</t>
  </si>
  <si>
    <t>Total (mg)</t>
  </si>
  <si>
    <t>Sample (mg)</t>
  </si>
  <si>
    <t>Assays, mg/L, g/t, %</t>
  </si>
  <si>
    <t>Amount        (g, mL)</t>
  </si>
  <si>
    <t>Product</t>
  </si>
  <si>
    <t>Cyanidation Results:</t>
  </si>
  <si>
    <t>Total (kg/t of sample feed)</t>
  </si>
  <si>
    <t>Total</t>
  </si>
  <si>
    <r>
      <t>Ca(OH)</t>
    </r>
    <r>
      <rPr>
        <vertAlign val="subscript"/>
        <sz val="12"/>
        <color indexed="8"/>
        <rFont val="Times New Roman"/>
        <family val="1"/>
      </rPr>
      <t>2</t>
    </r>
  </si>
  <si>
    <t>C.F.</t>
  </si>
  <si>
    <t xml:space="preserve"> Titration (mL)</t>
  </si>
  <si>
    <t>Equivalent</t>
  </si>
  <si>
    <t>Actual</t>
  </si>
  <si>
    <t>Total Sample Volume (mL)</t>
  </si>
  <si>
    <t>Assay Volume (mL)</t>
  </si>
  <si>
    <t>Titration Volume (mL)</t>
  </si>
  <si>
    <t>Lapse Hours</t>
  </si>
  <si>
    <r>
      <t>AgNO</t>
    </r>
    <r>
      <rPr>
        <vertAlign val="subscript"/>
        <sz val="12"/>
        <color indexed="8"/>
        <rFont val="Times New Roman"/>
        <family val="1"/>
      </rPr>
      <t>3</t>
    </r>
    <r>
      <rPr>
        <sz val="12"/>
        <color indexed="8"/>
        <rFont val="Times New Roman"/>
        <family val="1"/>
      </rPr>
      <t xml:space="preserve"> (mL)</t>
    </r>
  </si>
  <si>
    <r>
      <t>H</t>
    </r>
    <r>
      <rPr>
        <vertAlign val="subscript"/>
        <sz val="12"/>
        <color indexed="8"/>
        <rFont val="Times New Roman"/>
        <family val="1"/>
      </rPr>
      <t>2</t>
    </r>
    <r>
      <rPr>
        <sz val="12"/>
        <color indexed="8"/>
        <rFont val="Times New Roman"/>
        <family val="1"/>
      </rPr>
      <t>C</t>
    </r>
    <r>
      <rPr>
        <vertAlign val="subscript"/>
        <sz val="12"/>
        <color indexed="8"/>
        <rFont val="Times New Roman"/>
        <family val="1"/>
      </rPr>
      <t>2</t>
    </r>
    <r>
      <rPr>
        <sz val="12"/>
        <color indexed="8"/>
        <rFont val="Times New Roman"/>
        <family val="1"/>
      </rPr>
      <t>O</t>
    </r>
    <r>
      <rPr>
        <vertAlign val="subscript"/>
        <sz val="12"/>
        <color indexed="8"/>
        <rFont val="Times New Roman"/>
        <family val="1"/>
      </rPr>
      <t xml:space="preserve">4 </t>
    </r>
    <r>
      <rPr>
        <sz val="12"/>
        <color indexed="8"/>
        <rFont val="Times New Roman"/>
        <family val="1"/>
      </rPr>
      <t>Titration (mL)</t>
    </r>
  </si>
  <si>
    <r>
      <t>AgNO</t>
    </r>
    <r>
      <rPr>
        <vertAlign val="subscript"/>
        <sz val="12"/>
        <color indexed="8"/>
        <rFont val="Times New Roman"/>
        <family val="1"/>
      </rPr>
      <t>3</t>
    </r>
  </si>
  <si>
    <t>Intermittent Weight (g)</t>
  </si>
  <si>
    <t>Air/ O2</t>
  </si>
  <si>
    <r>
      <t>D.O</t>
    </r>
    <r>
      <rPr>
        <vertAlign val="subscript"/>
        <sz val="12"/>
        <color indexed="8"/>
        <rFont val="Times New Roman"/>
        <family val="1"/>
      </rPr>
      <t>2</t>
    </r>
  </si>
  <si>
    <t>pH</t>
  </si>
  <si>
    <t>Consumed (g)</t>
  </si>
  <si>
    <t>Residual (g)</t>
  </si>
  <si>
    <t>Added (g)</t>
  </si>
  <si>
    <t>Time (h)</t>
  </si>
  <si>
    <t>g</t>
  </si>
  <si>
    <t>Bottle Tare:</t>
  </si>
  <si>
    <t>Duplicate Residue Assay:</t>
  </si>
  <si>
    <r>
      <t>µ</t>
    </r>
    <r>
      <rPr>
        <sz val="9"/>
        <color indexed="8"/>
        <rFont val="Times New Roman"/>
        <family val="1"/>
      </rPr>
      <t>m</t>
    </r>
  </si>
  <si>
    <r>
      <t>Actual K</t>
    </r>
    <r>
      <rPr>
        <vertAlign val="subscript"/>
        <sz val="12"/>
        <color indexed="8"/>
        <rFont val="Times New Roman"/>
        <family val="1"/>
      </rPr>
      <t>80</t>
    </r>
    <r>
      <rPr>
        <sz val="12"/>
        <color indexed="8"/>
        <rFont val="Times New Roman"/>
        <family val="1"/>
      </rPr>
      <t xml:space="preserve"> =</t>
    </r>
  </si>
  <si>
    <t>Bottle #:</t>
  </si>
  <si>
    <t>PSA on Residue:</t>
  </si>
  <si>
    <r>
      <t>Target K</t>
    </r>
    <r>
      <rPr>
        <vertAlign val="subscript"/>
        <sz val="12"/>
        <color indexed="8"/>
        <rFont val="Times New Roman"/>
        <family val="1"/>
      </rPr>
      <t>80</t>
    </r>
    <r>
      <rPr>
        <sz val="12"/>
        <color indexed="8"/>
        <rFont val="Times New Roman"/>
        <family val="1"/>
      </rPr>
      <t xml:space="preserve"> =</t>
    </r>
  </si>
  <si>
    <t>% solids</t>
  </si>
  <si>
    <t xml:space="preserve">mill at </t>
  </si>
  <si>
    <t>min in</t>
  </si>
  <si>
    <t>kg for</t>
  </si>
  <si>
    <t>Grind:</t>
  </si>
  <si>
    <t>Cyanide Purity:</t>
  </si>
  <si>
    <t>Target Bottle Weight:</t>
  </si>
  <si>
    <t>maintained</t>
  </si>
  <si>
    <t>Cyanide Concentration:</t>
  </si>
  <si>
    <t>mL</t>
  </si>
  <si>
    <t>Solution Volume:</t>
  </si>
  <si>
    <t>g/t</t>
  </si>
  <si>
    <r>
      <t>Pb(NO</t>
    </r>
    <r>
      <rPr>
        <b/>
        <vertAlign val="subscript"/>
        <sz val="12"/>
        <color indexed="8"/>
        <rFont val="Times New Roman"/>
        <family val="1"/>
      </rPr>
      <t>3</t>
    </r>
    <r>
      <rPr>
        <b/>
        <sz val="12"/>
        <color indexed="8"/>
        <rFont val="Times New Roman"/>
        <family val="1"/>
      </rPr>
      <t>)</t>
    </r>
    <r>
      <rPr>
        <b/>
        <vertAlign val="subscript"/>
        <sz val="12"/>
        <color indexed="8"/>
        <rFont val="Times New Roman"/>
        <family val="1"/>
      </rPr>
      <t>2</t>
    </r>
    <r>
      <rPr>
        <b/>
        <sz val="12"/>
        <color indexed="8"/>
        <rFont val="Times New Roman"/>
        <family val="1"/>
      </rPr>
      <t xml:space="preserve"> Concentration:</t>
    </r>
  </si>
  <si>
    <t>solids</t>
  </si>
  <si>
    <t>Pulp Density:</t>
  </si>
  <si>
    <t>maintained with lime as required.</t>
  </si>
  <si>
    <t>10.5 - 11</t>
  </si>
  <si>
    <t>pH Range:</t>
  </si>
  <si>
    <t xml:space="preserve">Feed: </t>
  </si>
  <si>
    <t>Procedure:</t>
  </si>
  <si>
    <t xml:space="preserve">Purpose:               </t>
  </si>
  <si>
    <t>Sample ID:</t>
  </si>
  <si>
    <t>N</t>
  </si>
  <si>
    <t>Y</t>
  </si>
  <si>
    <t>Date:</t>
  </si>
  <si>
    <t xml:space="preserve">Project: </t>
  </si>
  <si>
    <t>Test ID:</t>
  </si>
  <si>
    <t>14196-002</t>
  </si>
  <si>
    <t>CN-1</t>
  </si>
  <si>
    <t>Au</t>
  </si>
  <si>
    <t>Ag</t>
  </si>
  <si>
    <t>To evaluate gold extraction by cyanide leaching.</t>
  </si>
  <si>
    <t>The ground feed sample was pulped to 40% solids. The pulp was brought to a pH range of 10.5-11 with lime. Then, 0.5 g/L of cyanide was added and the pulp was agitated. NaCN, pH and DO were monitored over the duration of the test. Intermittent solution samples were removed for Au and Ag assay. At 48h, the termination of the test, the pulp was filtered and the residue washed with fresh water. The final leach solution and the residue were submitted for Au and Ag analysis.</t>
  </si>
  <si>
    <t>GR-1(BS-3A13-03) Gravity Tails</t>
  </si>
  <si>
    <t>Summary of Cyanide Bottle Roll Tests</t>
  </si>
  <si>
    <t>Reagent Consumption kg/t of</t>
  </si>
  <si>
    <t>Extraction/Recovery, %</t>
  </si>
  <si>
    <t>Residue Grade</t>
  </si>
  <si>
    <t>Head Grade Calc</t>
  </si>
  <si>
    <t>g/t Au</t>
  </si>
  <si>
    <t>Au total, g/t</t>
  </si>
  <si>
    <t xml:space="preserve">Gravity </t>
  </si>
  <si>
    <t>CN-1, BS-3A13-03,Gravity tail, 75 µm</t>
  </si>
  <si>
    <t>CN-2, BS-3A13-02,Gravity tail, 75 µm</t>
  </si>
  <si>
    <t>CN-3, BS-3A13-01,Gravity tail, 75 µm</t>
  </si>
  <si>
    <t>Au Rec., %</t>
  </si>
  <si>
    <t>Conc.</t>
  </si>
  <si>
    <t>Tail</t>
  </si>
  <si>
    <t>Sample</t>
  </si>
  <si>
    <t>BS-3A13-03</t>
  </si>
  <si>
    <t>BS-3A13-02</t>
  </si>
  <si>
    <t>BS-3A13-01</t>
  </si>
  <si>
    <t>GR-1</t>
  </si>
  <si>
    <t>GR-2</t>
  </si>
  <si>
    <t>GR-3</t>
  </si>
  <si>
    <t>CN-2</t>
  </si>
  <si>
    <t>CN-3</t>
  </si>
  <si>
    <t xml:space="preserve">Gr-tail CN </t>
  </si>
  <si>
    <t>Comb Gr &amp; Gr-tail CN</t>
  </si>
  <si>
    <t>#2 Rod</t>
  </si>
</sst>
</file>

<file path=xl/styles.xml><?xml version="1.0" encoding="utf-8"?>
<styleSheet xmlns="http://schemas.openxmlformats.org/spreadsheetml/2006/main">
  <numFmts count="13">
    <numFmt numFmtId="164" formatCode="0.0"/>
    <numFmt numFmtId="165" formatCode="_(* #,##0.00_);_(* \(#,##0.00\);_(* &quot;-&quot;??_);_(@_)"/>
    <numFmt numFmtId="166" formatCode="0.000"/>
    <numFmt numFmtId="167" formatCode="0.0%"/>
    <numFmt numFmtId="168" formatCode="0.00\ &quot;g&quot;"/>
    <numFmt numFmtId="169" formatCode="0.00\ &quot;g/L&quot;"/>
    <numFmt numFmtId="170" formatCode="0.0000"/>
    <numFmt numFmtId="171" formatCode="&quot;LR-&quot;0"/>
    <numFmt numFmtId="172" formatCode="[$-409]mmmm\ d\,\ yyyy;@"/>
    <numFmt numFmtId="173" formatCode="0.000;[Red]\-0.000"/>
    <numFmt numFmtId="174" formatCode="0.00%;[Red]\-0.00%"/>
    <numFmt numFmtId="175" formatCode="&quot;$&quot;#,##0\ ;\(&quot;$&quot;#,##0\)"/>
    <numFmt numFmtId="176" formatCode="[&lt;100]0.0;[&gt;=100]\ 0;General"/>
  </numFmts>
  <fonts count="28">
    <font>
      <sz val="10"/>
      <name val="Arial"/>
    </font>
    <font>
      <sz val="12"/>
      <name val="Tms Rmn"/>
    </font>
    <font>
      <sz val="12"/>
      <color indexed="8"/>
      <name val="Times New Roman"/>
      <family val="1"/>
    </font>
    <font>
      <b/>
      <sz val="12"/>
      <color indexed="8"/>
      <name val="Times New Roman"/>
      <family val="1"/>
    </font>
    <font>
      <sz val="10"/>
      <name val="Arial"/>
      <family val="2"/>
    </font>
    <font>
      <b/>
      <sz val="10"/>
      <color indexed="8"/>
      <name val="Times New Roman"/>
      <family val="1"/>
    </font>
    <font>
      <sz val="10"/>
      <color indexed="8"/>
      <name val="Times New Roman"/>
      <family val="1"/>
    </font>
    <font>
      <b/>
      <u/>
      <sz val="12"/>
      <color indexed="8"/>
      <name val="Times New Roman"/>
      <family val="1"/>
    </font>
    <font>
      <vertAlign val="subscript"/>
      <sz val="12"/>
      <color indexed="8"/>
      <name val="Times New Roman"/>
      <family val="1"/>
    </font>
    <font>
      <sz val="9"/>
      <color indexed="8"/>
      <name val="Times New Roman"/>
      <family val="1"/>
    </font>
    <font>
      <b/>
      <vertAlign val="subscript"/>
      <sz val="12"/>
      <color indexed="8"/>
      <name val="Times New Roman"/>
      <family val="1"/>
    </font>
    <font>
      <strike/>
      <sz val="12"/>
      <color indexed="8"/>
      <name val="Times New Roman"/>
      <family val="1"/>
    </font>
    <font>
      <b/>
      <shadow/>
      <sz val="12"/>
      <color indexed="8"/>
      <name val="Times New Roman"/>
      <family val="1"/>
    </font>
    <font>
      <sz val="12"/>
      <name val="Impact"/>
      <family val="2"/>
    </font>
    <font>
      <b/>
      <sz val="10"/>
      <color indexed="9"/>
      <name val="Arial"/>
      <family val="2"/>
    </font>
    <font>
      <sz val="16"/>
      <color indexed="9"/>
      <name val="Impact"/>
      <family val="2"/>
    </font>
    <font>
      <b/>
      <sz val="14"/>
      <color indexed="18"/>
      <name val="Impact"/>
      <family val="2"/>
    </font>
    <font>
      <sz val="10"/>
      <name val="Arial Rounded MT Bold"/>
    </font>
    <font>
      <sz val="10"/>
      <color indexed="8"/>
      <name val="Arial"/>
      <family val="2"/>
    </font>
    <font>
      <sz val="10"/>
      <color indexed="17"/>
      <name val="Arial"/>
      <family val="2"/>
    </font>
    <font>
      <b/>
      <i/>
      <u/>
      <sz val="10"/>
      <color indexed="10"/>
      <name val="Arial"/>
      <family val="2"/>
    </font>
    <font>
      <b/>
      <i/>
      <sz val="10"/>
      <color indexed="52"/>
      <name val="Arial"/>
      <family val="2"/>
    </font>
    <font>
      <b/>
      <sz val="10"/>
      <color indexed="10"/>
      <name val="Arial"/>
      <family val="2"/>
    </font>
    <font>
      <b/>
      <sz val="10"/>
      <color indexed="53"/>
      <name val="Arial"/>
      <family val="2"/>
    </font>
    <font>
      <sz val="8"/>
      <color indexed="8"/>
      <name val="Tahoma"/>
      <family val="2"/>
    </font>
    <font>
      <sz val="8"/>
      <name val="Arial"/>
      <family val="2"/>
    </font>
    <font>
      <b/>
      <sz val="10"/>
      <name val="Arial"/>
      <family val="2"/>
    </font>
    <font>
      <sz val="10"/>
      <color indexed="12"/>
      <name val="Arial"/>
      <family val="2"/>
    </font>
  </fonts>
  <fills count="16">
    <fill>
      <patternFill patternType="none"/>
    </fill>
    <fill>
      <patternFill patternType="gray125"/>
    </fill>
    <fill>
      <patternFill patternType="solid">
        <fgColor indexed="42"/>
      </patternFill>
    </fill>
    <fill>
      <patternFill patternType="solid">
        <fgColor indexed="45"/>
      </patternFill>
    </fill>
    <fill>
      <patternFill patternType="solid">
        <fgColor indexed="41"/>
      </patternFill>
    </fill>
    <fill>
      <patternFill patternType="solid">
        <fgColor indexed="22"/>
      </patternFill>
    </fill>
    <fill>
      <patternFill patternType="solid">
        <fgColor indexed="48"/>
      </patternFill>
    </fill>
    <fill>
      <patternFill patternType="solid">
        <fgColor indexed="44"/>
      </patternFill>
    </fill>
    <fill>
      <patternFill patternType="solid">
        <fgColor indexed="18"/>
        <bgColor indexed="18"/>
      </patternFill>
    </fill>
    <fill>
      <patternFill patternType="solid">
        <fgColor indexed="9"/>
      </patternFill>
    </fill>
    <fill>
      <patternFill patternType="solid">
        <fgColor indexed="12"/>
        <bgColor indexed="9"/>
      </patternFill>
    </fill>
    <fill>
      <patternFill patternType="solid">
        <fgColor indexed="10"/>
      </patternFill>
    </fill>
    <fill>
      <patternFill patternType="solid">
        <fgColor indexed="55"/>
      </patternFill>
    </fill>
    <fill>
      <patternFill patternType="lightTrellis">
        <fgColor indexed="22"/>
        <bgColor indexed="22"/>
      </patternFill>
    </fill>
    <fill>
      <patternFill patternType="solid">
        <fgColor indexed="34"/>
      </patternFill>
    </fill>
    <fill>
      <patternFill patternType="solid">
        <fgColor indexed="53"/>
      </patternFill>
    </fill>
  </fills>
  <borders count="60">
    <border>
      <left/>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12"/>
      </left>
      <right style="thin">
        <color indexed="12"/>
      </right>
      <top style="thin">
        <color indexed="12"/>
      </top>
      <bottom style="thin">
        <color indexed="12"/>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medium">
        <color indexed="64"/>
      </left>
      <right style="hair">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s>
  <cellStyleXfs count="51">
    <xf numFmtId="0" fontId="0" fillId="0" borderId="0"/>
    <xf numFmtId="165" fontId="4" fillId="0" borderId="0" applyFont="0" applyFill="0" applyBorder="0" applyAlignment="0" applyProtection="0"/>
    <xf numFmtId="0" fontId="1" fillId="0" borderId="0" applyFill="0" applyBorder="0" applyAlignment="0" applyProtection="0"/>
    <xf numFmtId="0" fontId="1" fillId="0" borderId="0" applyFill="0" applyBorder="0" applyAlignment="0" applyProtection="0"/>
    <xf numFmtId="0" fontId="4" fillId="2" borderId="43"/>
    <xf numFmtId="0" fontId="4" fillId="3" borderId="43"/>
    <xf numFmtId="0" fontId="4" fillId="4" borderId="43"/>
    <xf numFmtId="0" fontId="13" fillId="5" borderId="43">
      <alignment horizontal="left" vertical="center" wrapText="1"/>
    </xf>
    <xf numFmtId="0" fontId="14" fillId="6" borderId="43">
      <alignment horizontal="center" textRotation="90"/>
    </xf>
    <xf numFmtId="0" fontId="4" fillId="7" borderId="43">
      <alignment horizontal="center" vertical="center"/>
    </xf>
    <xf numFmtId="166" fontId="4" fillId="7" borderId="43">
      <alignment horizontal="right" vertical="center"/>
    </xf>
    <xf numFmtId="10" fontId="4" fillId="7" borderId="43">
      <alignment horizontal="right" vertical="center"/>
    </xf>
    <xf numFmtId="0" fontId="15" fillId="8" borderId="44">
      <alignment horizontal="centerContinuous" vertical="center"/>
    </xf>
    <xf numFmtId="0" fontId="14" fillId="6" borderId="44">
      <alignment horizontal="center" vertical="center" wrapText="1"/>
    </xf>
    <xf numFmtId="0" fontId="16" fillId="9" borderId="44">
      <alignment horizontal="centerContinuous" vertical="center" wrapText="1"/>
    </xf>
    <xf numFmtId="0" fontId="17" fillId="10" borderId="44">
      <alignment horizontal="center" vertical="center" wrapText="1"/>
    </xf>
    <xf numFmtId="173" fontId="18" fillId="5" borderId="43"/>
    <xf numFmtId="166" fontId="18" fillId="5" borderId="43"/>
    <xf numFmtId="0" fontId="18" fillId="5" borderId="43">
      <alignment horizontal="left"/>
    </xf>
    <xf numFmtId="166" fontId="19" fillId="5" borderId="43"/>
    <xf numFmtId="166" fontId="19" fillId="0" borderId="43"/>
    <xf numFmtId="10" fontId="18" fillId="5" borderId="43"/>
    <xf numFmtId="167" fontId="19" fillId="0" borderId="0"/>
    <xf numFmtId="167" fontId="20" fillId="0" borderId="0"/>
    <xf numFmtId="174" fontId="18" fillId="5" borderId="43"/>
    <xf numFmtId="167" fontId="21" fillId="0" borderId="0"/>
    <xf numFmtId="166" fontId="20" fillId="5" borderId="43"/>
    <xf numFmtId="166" fontId="20" fillId="0" borderId="43"/>
    <xf numFmtId="166" fontId="21" fillId="5" borderId="43"/>
    <xf numFmtId="166" fontId="21" fillId="0" borderId="43"/>
    <xf numFmtId="10" fontId="4" fillId="4" borderId="43" applyBorder="0">
      <alignment horizontal="right" vertical="center"/>
    </xf>
    <xf numFmtId="0" fontId="4" fillId="11" borderId="43">
      <alignment vertical="top" wrapText="1"/>
    </xf>
    <xf numFmtId="10" fontId="4" fillId="12" borderId="43" applyFont="0" applyAlignment="0" applyProtection="0"/>
    <xf numFmtId="166" fontId="4" fillId="12" borderId="43" applyFont="0" applyAlignment="0" applyProtection="0"/>
    <xf numFmtId="10" fontId="19" fillId="0" borderId="43" applyAlignment="0" applyProtection="0"/>
    <xf numFmtId="166" fontId="19" fillId="0" borderId="43" applyAlignment="0" applyProtection="0"/>
    <xf numFmtId="10" fontId="22" fillId="0" borderId="43" applyAlignment="0" applyProtection="0"/>
    <xf numFmtId="166" fontId="22" fillId="0" borderId="43" applyAlignment="0" applyProtection="0"/>
    <xf numFmtId="10" fontId="23" fillId="0" borderId="43" applyAlignment="0" applyProtection="0"/>
    <xf numFmtId="166" fontId="23" fillId="0" borderId="43" applyAlignment="0" applyProtection="0"/>
    <xf numFmtId="0" fontId="24" fillId="13" borderId="43">
      <alignment horizontal="left"/>
    </xf>
    <xf numFmtId="1" fontId="4" fillId="0" borderId="43" applyNumberFormat="0" applyFont="0" applyBorder="0" applyAlignment="0" applyProtection="0">
      <alignment horizontal="center"/>
      <protection locked="0"/>
    </xf>
    <xf numFmtId="1" fontId="4" fillId="14" borderId="43" applyNumberFormat="0" applyFont="0" applyBorder="0" applyAlignment="0" applyProtection="0">
      <alignment horizontal="center"/>
      <protection locked="0"/>
    </xf>
    <xf numFmtId="1" fontId="4" fillId="5" borderId="43" applyNumberFormat="0" applyFont="0" applyAlignment="0" applyProtection="0">
      <alignment horizontal="center"/>
      <protection locked="0"/>
    </xf>
    <xf numFmtId="1" fontId="4" fillId="15" borderId="43" applyNumberFormat="0" applyFont="0" applyBorder="0" applyAlignment="0" applyProtection="0">
      <alignment horizontal="center"/>
      <protection locked="0"/>
    </xf>
    <xf numFmtId="3" fontId="25" fillId="0" borderId="0" applyFont="0" applyFill="0" applyBorder="0" applyAlignment="0" applyProtection="0"/>
    <xf numFmtId="175" fontId="25" fillId="0" borderId="0" applyFont="0" applyFill="0" applyBorder="0" applyAlignment="0" applyProtection="0"/>
    <xf numFmtId="0" fontId="25" fillId="0" borderId="0" applyFont="0" applyFill="0" applyBorder="0" applyAlignment="0" applyProtection="0"/>
    <xf numFmtId="2" fontId="25" fillId="0" borderId="0" applyFont="0" applyFill="0" applyBorder="0" applyAlignment="0" applyProtection="0"/>
    <xf numFmtId="0" fontId="4" fillId="0" borderId="0">
      <alignment horizontal="left"/>
    </xf>
    <xf numFmtId="0" fontId="4" fillId="0" borderId="0">
      <alignment horizontal="right"/>
    </xf>
  </cellStyleXfs>
  <cellXfs count="256">
    <xf numFmtId="0" fontId="0" fillId="0" borderId="0" xfId="0"/>
    <xf numFmtId="0" fontId="2" fillId="0" borderId="0" xfId="2" applyFont="1" applyFill="1"/>
    <xf numFmtId="164" fontId="2" fillId="0" borderId="0" xfId="2" applyNumberFormat="1" applyFont="1" applyFill="1"/>
    <xf numFmtId="2" fontId="2" fillId="0" borderId="0" xfId="2" applyNumberFormat="1" applyFont="1" applyFill="1"/>
    <xf numFmtId="3" fontId="2" fillId="0" borderId="0" xfId="2" applyNumberFormat="1" applyFont="1" applyFill="1"/>
    <xf numFmtId="0" fontId="3" fillId="0" borderId="0" xfId="0" applyFont="1" applyFill="1" applyBorder="1" applyAlignment="1">
      <alignment horizontal="center"/>
    </xf>
    <xf numFmtId="0" fontId="2" fillId="0" borderId="0" xfId="2" applyFont="1" applyFill="1" applyAlignment="1">
      <alignment horizontal="center" vertical="center" wrapText="1"/>
    </xf>
    <xf numFmtId="0" fontId="2" fillId="0" borderId="0" xfId="2" applyFont="1" applyFill="1" applyBorder="1"/>
    <xf numFmtId="0" fontId="2" fillId="0" borderId="0" xfId="2" applyFont="1" applyFill="1" applyBorder="1" applyAlignment="1">
      <alignment horizontal="center"/>
    </xf>
    <xf numFmtId="0" fontId="2" fillId="0" borderId="0" xfId="3" applyFont="1" applyFill="1" applyBorder="1" applyAlignment="1">
      <alignment horizontal="center"/>
    </xf>
    <xf numFmtId="0" fontId="2" fillId="0" borderId="1" xfId="2" applyFont="1" applyFill="1" applyBorder="1"/>
    <xf numFmtId="2" fontId="2" fillId="0" borderId="2" xfId="3" applyNumberFormat="1" applyFont="1" applyFill="1" applyBorder="1" applyAlignment="1">
      <alignment horizontal="center"/>
    </xf>
    <xf numFmtId="1" fontId="2" fillId="0" borderId="2" xfId="3" applyNumberFormat="1" applyFont="1" applyFill="1" applyBorder="1" applyAlignment="1">
      <alignment horizontal="center"/>
    </xf>
    <xf numFmtId="0" fontId="2" fillId="0" borderId="3" xfId="3" applyFont="1" applyFill="1" applyBorder="1"/>
    <xf numFmtId="0" fontId="2" fillId="0" borderId="0" xfId="2" applyFont="1"/>
    <xf numFmtId="0" fontId="2" fillId="0" borderId="0" xfId="2" applyFont="1" applyAlignment="1">
      <alignment horizontal="center"/>
    </xf>
    <xf numFmtId="164" fontId="2" fillId="0" borderId="4" xfId="3" applyNumberFormat="1" applyFont="1" applyFill="1" applyBorder="1" applyAlignment="1">
      <alignment horizontal="center"/>
    </xf>
    <xf numFmtId="2" fontId="2" fillId="0" borderId="4" xfId="3" applyNumberFormat="1" applyFont="1" applyFill="1" applyBorder="1" applyAlignment="1">
      <alignment horizontal="center"/>
    </xf>
    <xf numFmtId="0" fontId="2" fillId="0" borderId="4" xfId="2" applyFont="1" applyFill="1" applyBorder="1" applyAlignment="1">
      <alignment horizontal="center"/>
    </xf>
    <xf numFmtId="2" fontId="2" fillId="0" borderId="5" xfId="3" applyNumberFormat="1" applyFont="1" applyFill="1" applyBorder="1" applyAlignment="1">
      <alignment horizontal="center"/>
    </xf>
    <xf numFmtId="0" fontId="2" fillId="0" borderId="2" xfId="3" applyFont="1" applyFill="1" applyBorder="1"/>
    <xf numFmtId="2" fontId="2" fillId="0" borderId="6" xfId="3" applyNumberFormat="1" applyFont="1" applyFill="1" applyBorder="1" applyAlignment="1">
      <alignment horizontal="centerContinuous"/>
    </xf>
    <xf numFmtId="164" fontId="2" fillId="0" borderId="7" xfId="3" applyNumberFormat="1" applyFont="1" applyFill="1" applyBorder="1" applyAlignment="1">
      <alignment horizontal="center"/>
    </xf>
    <xf numFmtId="164" fontId="2" fillId="0" borderId="8" xfId="3" applyNumberFormat="1" applyFont="1" applyFill="1" applyBorder="1" applyAlignment="1">
      <alignment horizontal="center"/>
    </xf>
    <xf numFmtId="2" fontId="2" fillId="0" borderId="8" xfId="3" applyNumberFormat="1" applyFont="1" applyFill="1" applyBorder="1" applyAlignment="1">
      <alignment horizontal="center"/>
    </xf>
    <xf numFmtId="0" fontId="2" fillId="0" borderId="8" xfId="3" applyFont="1" applyFill="1" applyBorder="1" applyAlignment="1">
      <alignment horizontal="center"/>
    </xf>
    <xf numFmtId="0" fontId="2" fillId="0" borderId="8" xfId="2" applyFont="1" applyFill="1" applyBorder="1" applyAlignment="1">
      <alignment horizontal="center"/>
    </xf>
    <xf numFmtId="3" fontId="2" fillId="0" borderId="8" xfId="1" applyNumberFormat="1" applyFont="1" applyFill="1" applyBorder="1" applyAlignment="1">
      <alignment horizontal="center"/>
    </xf>
    <xf numFmtId="0" fontId="2" fillId="0" borderId="8" xfId="3" applyFont="1" applyFill="1" applyBorder="1"/>
    <xf numFmtId="166" fontId="2" fillId="0" borderId="0" xfId="2" applyNumberFormat="1" applyFont="1" applyAlignment="1">
      <alignment horizontal="center"/>
    </xf>
    <xf numFmtId="164" fontId="2" fillId="0" borderId="9" xfId="3" applyNumberFormat="1" applyFont="1" applyFill="1" applyBorder="1" applyAlignment="1">
      <alignment horizontal="centerContinuous"/>
    </xf>
    <xf numFmtId="164" fontId="2" fillId="0" borderId="10" xfId="3" applyNumberFormat="1" applyFont="1" applyFill="1" applyBorder="1" applyAlignment="1">
      <alignment horizontal="center"/>
    </xf>
    <xf numFmtId="164" fontId="2" fillId="0" borderId="11" xfId="3" applyNumberFormat="1" applyFont="1" applyFill="1" applyBorder="1" applyAlignment="1">
      <alignment horizontal="center"/>
    </xf>
    <xf numFmtId="164" fontId="2" fillId="0" borderId="12" xfId="3" applyNumberFormat="1" applyFont="1" applyFill="1" applyBorder="1" applyAlignment="1">
      <alignment horizontal="center"/>
    </xf>
    <xf numFmtId="2" fontId="2" fillId="0" borderId="12" xfId="3" applyNumberFormat="1" applyFont="1" applyFill="1" applyBorder="1" applyAlignment="1">
      <alignment horizontal="center"/>
    </xf>
    <xf numFmtId="2" fontId="2" fillId="0" borderId="11" xfId="3" applyNumberFormat="1" applyFont="1" applyFill="1" applyBorder="1" applyAlignment="1">
      <alignment horizontal="center"/>
    </xf>
    <xf numFmtId="166" fontId="2" fillId="0" borderId="11" xfId="3" applyNumberFormat="1" applyFont="1" applyFill="1" applyBorder="1" applyAlignment="1">
      <alignment horizontal="center"/>
    </xf>
    <xf numFmtId="2" fontId="2" fillId="0" borderId="13" xfId="3" applyNumberFormat="1" applyFont="1" applyFill="1" applyBorder="1" applyAlignment="1">
      <alignment horizontal="center"/>
    </xf>
    <xf numFmtId="1" fontId="2" fillId="0" borderId="12" xfId="3" applyNumberFormat="1" applyFont="1" applyFill="1" applyBorder="1" applyAlignment="1">
      <alignment horizontal="center"/>
    </xf>
    <xf numFmtId="0" fontId="2" fillId="0" borderId="13" xfId="3" applyFont="1" applyFill="1" applyBorder="1"/>
    <xf numFmtId="164" fontId="2" fillId="0" borderId="14" xfId="3" applyNumberFormat="1" applyFont="1" applyFill="1" applyBorder="1" applyAlignment="1">
      <alignment horizontal="centerContinuous"/>
    </xf>
    <xf numFmtId="164" fontId="2" fillId="0" borderId="15" xfId="3" applyNumberFormat="1" applyFont="1" applyFill="1" applyBorder="1" applyAlignment="1">
      <alignment horizontal="center"/>
    </xf>
    <xf numFmtId="2" fontId="2" fillId="0" borderId="15" xfId="3" applyNumberFormat="1" applyFont="1" applyFill="1" applyBorder="1" applyAlignment="1">
      <alignment horizontal="center"/>
    </xf>
    <xf numFmtId="1" fontId="2" fillId="0" borderId="15" xfId="3" applyNumberFormat="1" applyFont="1" applyFill="1" applyBorder="1" applyAlignment="1">
      <alignment horizontal="center"/>
    </xf>
    <xf numFmtId="0" fontId="2" fillId="0" borderId="15" xfId="3" applyFont="1" applyFill="1" applyBorder="1"/>
    <xf numFmtId="164" fontId="2" fillId="0" borderId="16" xfId="3" applyNumberFormat="1" applyFont="1" applyFill="1" applyBorder="1" applyAlignment="1">
      <alignment horizontal="centerContinuous"/>
    </xf>
    <xf numFmtId="2" fontId="2" fillId="0" borderId="17" xfId="3" applyNumberFormat="1" applyFont="1" applyFill="1" applyBorder="1" applyAlignment="1">
      <alignment horizontal="center"/>
    </xf>
    <xf numFmtId="1" fontId="2" fillId="0" borderId="17" xfId="3" applyNumberFormat="1" applyFont="1" applyFill="1" applyBorder="1" applyAlignment="1">
      <alignment horizontal="center"/>
    </xf>
    <xf numFmtId="0" fontId="2" fillId="0" borderId="17" xfId="3" applyFont="1" applyFill="1" applyBorder="1"/>
    <xf numFmtId="1" fontId="3" fillId="0" borderId="18" xfId="3" applyNumberFormat="1" applyFont="1" applyFill="1" applyBorder="1" applyAlignment="1">
      <alignment horizontal="centerContinuous"/>
    </xf>
    <xf numFmtId="0" fontId="3" fillId="0" borderId="19" xfId="0" applyFont="1" applyFill="1" applyBorder="1" applyAlignment="1">
      <alignment horizontal="centerContinuous"/>
    </xf>
    <xf numFmtId="0" fontId="3" fillId="0" borderId="2" xfId="0" applyFont="1" applyFill="1" applyBorder="1" applyAlignment="1">
      <alignment horizontal="center"/>
    </xf>
    <xf numFmtId="1" fontId="3" fillId="0" borderId="2" xfId="3" applyNumberFormat="1" applyFont="1" applyFill="1" applyBorder="1" applyAlignment="1">
      <alignment horizontal="center"/>
    </xf>
    <xf numFmtId="0" fontId="3" fillId="0" borderId="3" xfId="0" applyFont="1" applyFill="1" applyBorder="1" applyAlignment="1">
      <alignment horizontal="center"/>
    </xf>
    <xf numFmtId="0" fontId="3" fillId="0" borderId="2" xfId="3" applyFont="1" applyFill="1" applyBorder="1" applyAlignment="1">
      <alignment horizontal="center"/>
    </xf>
    <xf numFmtId="0" fontId="3" fillId="0" borderId="20" xfId="3" applyFont="1" applyFill="1" applyBorder="1" applyAlignment="1">
      <alignment horizontal="center"/>
    </xf>
    <xf numFmtId="1" fontId="3" fillId="0" borderId="3" xfId="3" applyNumberFormat="1" applyFont="1" applyFill="1" applyBorder="1" applyAlignment="1">
      <alignment horizontal="center"/>
    </xf>
    <xf numFmtId="0" fontId="2" fillId="0" borderId="0" xfId="2" applyFont="1" applyFill="1" applyAlignment="1">
      <alignment horizontal="left"/>
    </xf>
    <xf numFmtId="0" fontId="2" fillId="0" borderId="0" xfId="3" applyFont="1" applyFill="1" applyBorder="1"/>
    <xf numFmtId="164" fontId="2" fillId="0" borderId="0" xfId="3" applyNumberFormat="1" applyFont="1" applyFill="1" applyBorder="1" applyAlignment="1"/>
    <xf numFmtId="0" fontId="3" fillId="0" borderId="0" xfId="2" applyFont="1" applyFill="1"/>
    <xf numFmtId="0" fontId="2" fillId="0" borderId="0" xfId="2" applyFont="1" applyFill="1" applyBorder="1" applyAlignment="1">
      <alignment horizontal="left" indent="1"/>
    </xf>
    <xf numFmtId="2" fontId="3" fillId="0" borderId="0" xfId="2" applyNumberFormat="1" applyFont="1" applyFill="1" applyBorder="1" applyAlignment="1">
      <alignment horizontal="center"/>
    </xf>
    <xf numFmtId="0" fontId="3" fillId="0" borderId="0" xfId="2" applyFont="1" applyFill="1" applyBorder="1" applyAlignment="1">
      <alignment horizontal="right"/>
    </xf>
    <xf numFmtId="0" fontId="3" fillId="0" borderId="0" xfId="2" applyFont="1" applyFill="1" applyBorder="1"/>
    <xf numFmtId="166" fontId="3" fillId="0" borderId="0" xfId="2" applyNumberFormat="1" applyFont="1" applyFill="1" applyBorder="1" applyAlignment="1">
      <alignment horizontal="center"/>
    </xf>
    <xf numFmtId="0" fontId="3" fillId="0" borderId="0" xfId="2" applyFont="1" applyFill="1" applyBorder="1" applyAlignment="1">
      <alignment horizontal="center"/>
    </xf>
    <xf numFmtId="1" fontId="5" fillId="0" borderId="0" xfId="0" applyNumberFormat="1" applyFont="1" applyFill="1" applyBorder="1" applyAlignment="1">
      <alignment horizontal="center"/>
    </xf>
    <xf numFmtId="1" fontId="3" fillId="0" borderId="0" xfId="2" applyNumberFormat="1" applyFont="1" applyFill="1" applyBorder="1" applyAlignment="1">
      <alignment horizontal="center"/>
    </xf>
    <xf numFmtId="164" fontId="3" fillId="0" borderId="0" xfId="2" applyNumberFormat="1" applyFont="1" applyFill="1" applyBorder="1" applyAlignment="1">
      <alignment horizontal="center"/>
    </xf>
    <xf numFmtId="2" fontId="3" fillId="0" borderId="24" xfId="2" applyNumberFormat="1" applyFont="1" applyFill="1" applyBorder="1" applyAlignment="1">
      <alignment horizontal="center" vertical="center"/>
    </xf>
    <xf numFmtId="2" fontId="3" fillId="0" borderId="22" xfId="2" applyNumberFormat="1" applyFont="1" applyFill="1" applyBorder="1" applyAlignment="1">
      <alignment horizontal="center" vertical="center"/>
    </xf>
    <xf numFmtId="2" fontId="3" fillId="0" borderId="21" xfId="2" applyNumberFormat="1" applyFont="1" applyFill="1" applyBorder="1" applyAlignment="1">
      <alignment horizontal="center" vertical="center"/>
    </xf>
    <xf numFmtId="2" fontId="3" fillId="0" borderId="24" xfId="2" applyNumberFormat="1" applyFont="1" applyFill="1" applyBorder="1" applyAlignment="1">
      <alignment horizontal="center"/>
    </xf>
    <xf numFmtId="2" fontId="3" fillId="0" borderId="21" xfId="2" applyNumberFormat="1" applyFont="1" applyFill="1" applyBorder="1" applyAlignment="1">
      <alignment horizontal="center"/>
    </xf>
    <xf numFmtId="0" fontId="3" fillId="0" borderId="3" xfId="2" applyFont="1" applyFill="1" applyBorder="1" applyAlignment="1">
      <alignment horizontal="center" vertical="center" wrapText="1"/>
    </xf>
    <xf numFmtId="2" fontId="3" fillId="0" borderId="24" xfId="2" applyNumberFormat="1" applyFont="1" applyFill="1" applyBorder="1" applyAlignment="1">
      <alignment horizontal="centerContinuous"/>
    </xf>
    <xf numFmtId="2" fontId="3" fillId="0" borderId="22" xfId="2" applyNumberFormat="1" applyFont="1" applyFill="1" applyBorder="1" applyAlignment="1">
      <alignment horizontal="center"/>
    </xf>
    <xf numFmtId="0" fontId="3" fillId="0" borderId="3" xfId="2" applyFont="1" applyFill="1" applyBorder="1" applyAlignment="1">
      <alignment horizontal="center"/>
    </xf>
    <xf numFmtId="0" fontId="2" fillId="0" borderId="0" xfId="2" applyFont="1" applyFill="1" applyAlignment="1">
      <alignment horizontal="center" vertical="center"/>
    </xf>
    <xf numFmtId="2" fontId="2" fillId="0" borderId="13" xfId="2" applyNumberFormat="1" applyFont="1" applyFill="1" applyBorder="1" applyAlignment="1">
      <alignment horizontal="center" vertical="center"/>
    </xf>
    <xf numFmtId="0" fontId="2" fillId="0" borderId="13" xfId="2" applyFont="1" applyFill="1" applyBorder="1" applyAlignment="1">
      <alignment horizontal="center" vertical="center"/>
    </xf>
    <xf numFmtId="164" fontId="2" fillId="0" borderId="13" xfId="2" applyNumberFormat="1" applyFont="1" applyFill="1" applyBorder="1" applyAlignment="1">
      <alignment horizontal="center" vertical="center"/>
    </xf>
    <xf numFmtId="0" fontId="6" fillId="0" borderId="25" xfId="0" applyFont="1" applyFill="1" applyBorder="1" applyAlignment="1">
      <alignment horizontal="center" vertical="center"/>
    </xf>
    <xf numFmtId="164" fontId="2" fillId="0" borderId="26" xfId="0" applyNumberFormat="1" applyFont="1" applyFill="1" applyBorder="1" applyAlignment="1">
      <alignment horizontal="center" vertical="center"/>
    </xf>
    <xf numFmtId="0" fontId="3" fillId="0" borderId="13" xfId="2" applyFont="1" applyFill="1" applyBorder="1" applyAlignment="1">
      <alignment horizontal="center" vertical="center"/>
    </xf>
    <xf numFmtId="164" fontId="2" fillId="0" borderId="2" xfId="2" applyNumberFormat="1" applyFont="1" applyFill="1" applyBorder="1" applyAlignment="1">
      <alignment horizontal="center" vertical="center"/>
    </xf>
    <xf numFmtId="2" fontId="2" fillId="0" borderId="27" xfId="2" applyNumberFormat="1" applyFont="1" applyFill="1" applyBorder="1" applyAlignment="1">
      <alignment horizontal="center" vertical="center"/>
    </xf>
    <xf numFmtId="2" fontId="2" fillId="0" borderId="19" xfId="2" applyNumberFormat="1" applyFont="1" applyFill="1" applyBorder="1" applyAlignment="1">
      <alignment horizontal="center" vertical="center"/>
    </xf>
    <xf numFmtId="2" fontId="2" fillId="0" borderId="25" xfId="2" applyNumberFormat="1" applyFont="1" applyFill="1" applyBorder="1" applyAlignment="1">
      <alignment horizontal="center" vertical="center"/>
    </xf>
    <xf numFmtId="49" fontId="2" fillId="0" borderId="15" xfId="2" applyNumberFormat="1" applyFont="1" applyFill="1" applyBorder="1" applyAlignment="1">
      <alignment horizontal="center" vertical="center"/>
    </xf>
    <xf numFmtId="0" fontId="2" fillId="0" borderId="0" xfId="2" applyFont="1" applyFill="1" applyBorder="1" applyAlignment="1">
      <alignment horizontal="center" vertical="center"/>
    </xf>
    <xf numFmtId="1" fontId="2" fillId="0" borderId="15" xfId="2" applyNumberFormat="1" applyFont="1" applyFill="1" applyBorder="1" applyAlignment="1">
      <alignment horizontal="center" vertical="center"/>
    </xf>
    <xf numFmtId="3" fontId="2" fillId="0" borderId="15" xfId="1" applyNumberFormat="1" applyFont="1" applyFill="1" applyBorder="1" applyAlignment="1">
      <alignment horizontal="center"/>
    </xf>
    <xf numFmtId="2" fontId="2" fillId="0" borderId="15" xfId="2" applyNumberFormat="1" applyFont="1" applyFill="1" applyBorder="1" applyAlignment="1">
      <alignment horizontal="center" vertical="center"/>
    </xf>
    <xf numFmtId="2" fontId="2" fillId="0" borderId="11" xfId="2" applyNumberFormat="1" applyFont="1" applyFill="1" applyBorder="1" applyAlignment="1">
      <alignment horizontal="center" vertical="center"/>
    </xf>
    <xf numFmtId="2" fontId="2" fillId="0" borderId="28" xfId="2" applyNumberFormat="1" applyFont="1" applyFill="1" applyBorder="1" applyAlignment="1">
      <alignment horizontal="center" vertical="center"/>
    </xf>
    <xf numFmtId="1" fontId="2" fillId="0" borderId="10" xfId="2" applyNumberFormat="1" applyFont="1" applyFill="1" applyBorder="1" applyAlignment="1">
      <alignment horizontal="center" vertical="center"/>
    </xf>
    <xf numFmtId="164" fontId="2" fillId="0" borderId="11" xfId="2" applyNumberFormat="1" applyFont="1" applyFill="1" applyBorder="1" applyAlignment="1">
      <alignment horizontal="center" vertical="center"/>
    </xf>
    <xf numFmtId="164" fontId="2" fillId="0" borderId="10" xfId="2" applyNumberFormat="1" applyFont="1" applyFill="1" applyBorder="1" applyAlignment="1">
      <alignment horizontal="center" vertical="center"/>
    </xf>
    <xf numFmtId="2" fontId="2" fillId="0" borderId="29" xfId="2" applyNumberFormat="1" applyFont="1" applyFill="1" applyBorder="1" applyAlignment="1">
      <alignment horizontal="center" vertical="center"/>
    </xf>
    <xf numFmtId="2" fontId="2" fillId="0" borderId="30" xfId="2" applyNumberFormat="1" applyFont="1" applyFill="1" applyBorder="1" applyAlignment="1">
      <alignment horizontal="center" vertical="center"/>
    </xf>
    <xf numFmtId="2" fontId="2" fillId="0" borderId="10" xfId="2" applyNumberFormat="1" applyFont="1" applyFill="1" applyBorder="1" applyAlignment="1">
      <alignment horizontal="center" vertical="center"/>
    </xf>
    <xf numFmtId="0" fontId="2" fillId="0" borderId="15" xfId="2" applyNumberFormat="1" applyFont="1" applyFill="1" applyBorder="1" applyAlignment="1">
      <alignment horizontal="center" vertical="center"/>
    </xf>
    <xf numFmtId="2" fontId="2" fillId="0" borderId="31" xfId="2" applyNumberFormat="1" applyFont="1" applyFill="1" applyBorder="1" applyAlignment="1">
      <alignment horizontal="center" vertical="center"/>
    </xf>
    <xf numFmtId="0" fontId="2" fillId="0" borderId="15" xfId="2" quotePrefix="1" applyNumberFormat="1" applyFont="1" applyFill="1" applyBorder="1" applyAlignment="1">
      <alignment horizontal="center" vertical="center"/>
    </xf>
    <xf numFmtId="0" fontId="7" fillId="0" borderId="17"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32" xfId="2" applyFont="1" applyFill="1" applyBorder="1" applyAlignment="1">
      <alignment horizontal="center" vertical="center"/>
    </xf>
    <xf numFmtId="0" fontId="2" fillId="0" borderId="33" xfId="2" applyFont="1" applyFill="1" applyBorder="1" applyAlignment="1">
      <alignment horizontal="center" vertical="center"/>
    </xf>
    <xf numFmtId="164" fontId="2" fillId="0" borderId="17" xfId="2" applyNumberFormat="1" applyFont="1" applyFill="1" applyBorder="1" applyAlignment="1">
      <alignment horizontal="center" vertical="center"/>
    </xf>
    <xf numFmtId="0" fontId="2" fillId="0" borderId="34" xfId="2" applyFont="1" applyFill="1" applyBorder="1" applyAlignment="1">
      <alignment horizontal="center" vertical="center"/>
    </xf>
    <xf numFmtId="2" fontId="2" fillId="0" borderId="35" xfId="2" applyNumberFormat="1" applyFont="1" applyFill="1" applyBorder="1" applyAlignment="1">
      <alignment horizontal="center" vertical="center"/>
    </xf>
    <xf numFmtId="166" fontId="2" fillId="0" borderId="34" xfId="2" applyNumberFormat="1" applyFont="1" applyFill="1" applyBorder="1" applyAlignment="1">
      <alignment horizontal="center" vertical="center"/>
    </xf>
    <xf numFmtId="0" fontId="2" fillId="0" borderId="27" xfId="2" applyFont="1" applyFill="1" applyBorder="1" applyAlignment="1">
      <alignment horizontal="center" vertical="center" wrapText="1"/>
    </xf>
    <xf numFmtId="0" fontId="2" fillId="0" borderId="27" xfId="2" applyFont="1" applyFill="1" applyBorder="1" applyAlignment="1">
      <alignment horizontal="centerContinuous"/>
    </xf>
    <xf numFmtId="0" fontId="2" fillId="0" borderId="37" xfId="2" applyFont="1" applyFill="1" applyBorder="1" applyAlignment="1">
      <alignment horizontal="center"/>
    </xf>
    <xf numFmtId="0" fontId="2" fillId="0" borderId="27" xfId="2" applyFont="1" applyFill="1" applyBorder="1" applyAlignment="1">
      <alignment horizontal="center"/>
    </xf>
    <xf numFmtId="0" fontId="2" fillId="0" borderId="0" xfId="2" applyFont="1" applyFill="1" applyAlignment="1">
      <alignment horizontal="center"/>
    </xf>
    <xf numFmtId="0" fontId="2" fillId="0" borderId="39" xfId="2" applyFont="1" applyFill="1" applyBorder="1" applyAlignment="1">
      <alignment horizontal="center" vertical="center" wrapText="1"/>
    </xf>
    <xf numFmtId="166" fontId="2" fillId="0" borderId="0" xfId="2" applyNumberFormat="1" applyFont="1" applyFill="1" applyAlignment="1">
      <alignment horizontal="center"/>
    </xf>
    <xf numFmtId="0" fontId="7" fillId="0" borderId="0" xfId="2" applyFont="1" applyFill="1" applyBorder="1" applyAlignment="1">
      <alignment horizontal="center"/>
    </xf>
    <xf numFmtId="1" fontId="2" fillId="0" borderId="0" xfId="2" applyNumberFormat="1" applyFont="1" applyFill="1" applyBorder="1" applyAlignment="1">
      <alignment horizontal="center" vertical="center"/>
    </xf>
    <xf numFmtId="0" fontId="2" fillId="0" borderId="0" xfId="2" applyFont="1" applyFill="1" applyAlignment="1">
      <alignment horizontal="right"/>
    </xf>
    <xf numFmtId="0" fontId="2" fillId="0" borderId="0" xfId="2" applyFont="1" applyFill="1" applyBorder="1" applyAlignment="1">
      <alignment horizontal="right"/>
    </xf>
    <xf numFmtId="0" fontId="2" fillId="0" borderId="0" xfId="0" applyFont="1" applyFill="1" applyBorder="1" applyAlignment="1">
      <alignment horizontal="center"/>
    </xf>
    <xf numFmtId="3" fontId="2" fillId="0" borderId="0" xfId="1" applyNumberFormat="1" applyFont="1" applyFill="1" applyBorder="1" applyAlignment="1">
      <alignment horizontal="right"/>
    </xf>
    <xf numFmtId="164" fontId="7" fillId="0" borderId="0" xfId="2" applyNumberFormat="1" applyFont="1" applyFill="1" applyBorder="1" applyAlignment="1">
      <alignment horizontal="center"/>
    </xf>
    <xf numFmtId="3" fontId="7" fillId="0" borderId="0" xfId="2" applyNumberFormat="1" applyFont="1" applyFill="1" applyBorder="1" applyAlignment="1">
      <alignment horizontal="center"/>
    </xf>
    <xf numFmtId="167" fontId="2" fillId="0" borderId="0" xfId="2" applyNumberFormat="1" applyFont="1" applyFill="1" applyAlignment="1">
      <alignment horizontal="right"/>
    </xf>
    <xf numFmtId="0" fontId="3" fillId="0" borderId="0" xfId="2" applyFont="1" applyFill="1" applyAlignment="1">
      <alignment horizontal="right"/>
    </xf>
    <xf numFmtId="168" fontId="2" fillId="0" borderId="0" xfId="2" applyNumberFormat="1" applyFont="1" applyFill="1" applyAlignment="1">
      <alignment horizontal="right"/>
    </xf>
    <xf numFmtId="0" fontId="2" fillId="0" borderId="0" xfId="2" applyFont="1" applyFill="1" applyBorder="1" applyAlignment="1">
      <alignment horizontal="right" vertical="center"/>
    </xf>
    <xf numFmtId="0" fontId="2" fillId="0" borderId="0" xfId="2" applyFont="1" applyFill="1" applyBorder="1" applyAlignment="1">
      <alignment horizontal="left"/>
    </xf>
    <xf numFmtId="0" fontId="2" fillId="0" borderId="0" xfId="2" applyFont="1" applyFill="1" applyBorder="1" applyAlignment="1">
      <alignment vertical="center" wrapText="1"/>
    </xf>
    <xf numFmtId="0" fontId="2" fillId="0" borderId="0" xfId="2" applyFont="1" applyFill="1" applyBorder="1" applyAlignment="1">
      <alignment vertical="center"/>
    </xf>
    <xf numFmtId="169" fontId="2" fillId="0" borderId="0" xfId="1" applyNumberFormat="1" applyFont="1" applyFill="1" applyBorder="1" applyAlignment="1">
      <alignment horizontal="right"/>
    </xf>
    <xf numFmtId="0" fontId="3" fillId="0" borderId="0" xfId="2" applyFont="1" applyFill="1" applyBorder="1" applyAlignment="1">
      <alignment horizontal="right" vertical="center"/>
    </xf>
    <xf numFmtId="9" fontId="2" fillId="0" borderId="0" xfId="2" applyNumberFormat="1" applyFont="1" applyFill="1" applyBorder="1" applyAlignment="1">
      <alignment horizontal="left" vertical="top" wrapText="1"/>
    </xf>
    <xf numFmtId="170" fontId="2" fillId="0" borderId="0" xfId="2" applyNumberFormat="1" applyFont="1" applyFill="1" applyAlignment="1">
      <alignment horizontal="right"/>
    </xf>
    <xf numFmtId="9" fontId="2" fillId="0" borderId="0" xfId="1" applyNumberFormat="1" applyFont="1" applyFill="1" applyBorder="1" applyAlignment="1">
      <alignment horizontal="right"/>
    </xf>
    <xf numFmtId="164" fontId="2" fillId="0" borderId="0" xfId="2" applyNumberFormat="1" applyFont="1" applyFill="1" applyAlignment="1">
      <alignment horizontal="center"/>
    </xf>
    <xf numFmtId="0" fontId="2" fillId="0" borderId="0" xfId="2" applyFont="1" applyFill="1" applyBorder="1" applyAlignment="1"/>
    <xf numFmtId="0" fontId="11" fillId="0" borderId="0" xfId="2" applyFont="1" applyFill="1" applyBorder="1" applyAlignment="1">
      <alignment horizontal="left" indent="1"/>
    </xf>
    <xf numFmtId="0" fontId="2" fillId="0" borderId="0" xfId="2" applyNumberFormat="1" applyFont="1" applyFill="1" applyBorder="1" applyAlignment="1">
      <alignment horizontal="center"/>
    </xf>
    <xf numFmtId="0" fontId="2" fillId="0" borderId="0" xfId="2" applyFont="1" applyFill="1" applyAlignment="1">
      <alignment vertical="top" wrapText="1"/>
    </xf>
    <xf numFmtId="166" fontId="2" fillId="0" borderId="0" xfId="2" applyNumberFormat="1" applyFont="1" applyFill="1" applyAlignment="1">
      <alignment horizontal="center" vertical="top" wrapText="1"/>
    </xf>
    <xf numFmtId="0" fontId="2" fillId="0" borderId="0" xfId="2" applyFont="1" applyFill="1" applyBorder="1" applyAlignment="1">
      <alignment horizontal="centerContinuous" vertical="top" wrapText="1"/>
    </xf>
    <xf numFmtId="0" fontId="3" fillId="0" borderId="0" xfId="2" applyFont="1" applyFill="1" applyBorder="1" applyAlignment="1">
      <alignment vertical="top" wrapText="1"/>
    </xf>
    <xf numFmtId="0" fontId="3" fillId="0" borderId="0" xfId="2" applyFont="1" applyFill="1" applyBorder="1" applyAlignment="1">
      <alignment vertical="top"/>
    </xf>
    <xf numFmtId="0" fontId="3" fillId="0" borderId="0" xfId="2" applyFont="1" applyFill="1" applyAlignment="1">
      <alignment horizontal="left"/>
    </xf>
    <xf numFmtId="171" fontId="3" fillId="0" borderId="0" xfId="2" applyNumberFormat="1" applyFont="1" applyFill="1" applyBorder="1" applyAlignment="1" applyProtection="1">
      <alignment horizontal="right"/>
      <protection locked="0"/>
    </xf>
    <xf numFmtId="0" fontId="12" fillId="0" borderId="0" xfId="2" applyFont="1" applyFill="1" applyBorder="1"/>
    <xf numFmtId="0" fontId="3" fillId="0" borderId="0" xfId="2" applyFont="1" applyFill="1" applyBorder="1" applyAlignment="1" applyProtection="1">
      <alignment horizontal="center"/>
      <protection locked="0"/>
    </xf>
    <xf numFmtId="15" fontId="3" fillId="0" borderId="0" xfId="2" quotePrefix="1" applyNumberFormat="1" applyFont="1" applyFill="1" applyAlignment="1">
      <alignment horizontal="right"/>
    </xf>
    <xf numFmtId="0" fontId="2" fillId="0" borderId="0" xfId="2" applyFont="1" applyFill="1" applyAlignment="1">
      <alignment vertical="top"/>
    </xf>
    <xf numFmtId="172" fontId="3" fillId="0" borderId="0" xfId="2" applyNumberFormat="1" applyFont="1" applyFill="1" applyAlignment="1"/>
    <xf numFmtId="0" fontId="6" fillId="0" borderId="0" xfId="2" applyFont="1" applyFill="1"/>
    <xf numFmtId="0" fontId="26" fillId="0" borderId="46" xfId="0" applyFont="1" applyBorder="1"/>
    <xf numFmtId="0" fontId="26" fillId="0" borderId="47" xfId="0" applyFont="1" applyBorder="1"/>
    <xf numFmtId="0" fontId="26" fillId="0" borderId="45" xfId="0" applyFont="1" applyBorder="1"/>
    <xf numFmtId="0" fontId="26" fillId="0" borderId="49" xfId="0" applyFont="1" applyBorder="1" applyAlignment="1">
      <alignment horizontal="center"/>
    </xf>
    <xf numFmtId="0" fontId="26" fillId="0" borderId="50" xfId="0" applyFont="1" applyBorder="1" applyAlignment="1">
      <alignment horizontal="center"/>
    </xf>
    <xf numFmtId="0" fontId="26" fillId="0" borderId="48" xfId="0" applyFont="1" applyBorder="1" applyAlignment="1">
      <alignment horizontal="center"/>
    </xf>
    <xf numFmtId="0" fontId="4" fillId="0" borderId="51" xfId="0" applyFont="1" applyBorder="1" applyAlignment="1">
      <alignment horizontal="left"/>
    </xf>
    <xf numFmtId="2" fontId="0" fillId="0" borderId="52" xfId="0" applyNumberFormat="1" applyBorder="1" applyAlignment="1">
      <alignment horizontal="center"/>
    </xf>
    <xf numFmtId="2" fontId="0" fillId="0" borderId="53" xfId="0" applyNumberFormat="1" applyBorder="1" applyAlignment="1">
      <alignment horizontal="center"/>
    </xf>
    <xf numFmtId="176" fontId="0" fillId="0" borderId="54" xfId="0" applyNumberFormat="1" applyBorder="1" applyAlignment="1">
      <alignment horizontal="center"/>
    </xf>
    <xf numFmtId="0" fontId="0" fillId="0" borderId="52" xfId="0" applyNumberFormat="1" applyBorder="1" applyAlignment="1">
      <alignment horizontal="center"/>
    </xf>
    <xf numFmtId="0" fontId="4" fillId="0" borderId="54" xfId="0" applyFont="1" applyBorder="1" applyAlignment="1">
      <alignment horizontal="left"/>
    </xf>
    <xf numFmtId="2" fontId="0" fillId="0" borderId="55" xfId="0" applyNumberFormat="1" applyBorder="1" applyAlignment="1">
      <alignment horizontal="center"/>
    </xf>
    <xf numFmtId="2" fontId="0" fillId="0" borderId="56" xfId="0" applyNumberFormat="1" applyBorder="1" applyAlignment="1">
      <alignment horizontal="center"/>
    </xf>
    <xf numFmtId="0" fontId="0" fillId="0" borderId="55" xfId="0" applyNumberFormat="1" applyBorder="1" applyAlignment="1">
      <alignment horizontal="center"/>
    </xf>
    <xf numFmtId="2" fontId="0" fillId="0" borderId="54" xfId="0" applyNumberFormat="1" applyBorder="1" applyAlignment="1">
      <alignment horizontal="center"/>
    </xf>
    <xf numFmtId="0" fontId="4" fillId="0" borderId="57" xfId="0" applyFont="1" applyBorder="1" applyAlignment="1">
      <alignment horizontal="left"/>
    </xf>
    <xf numFmtId="2" fontId="0" fillId="0" borderId="58" xfId="0" applyNumberFormat="1" applyBorder="1" applyAlignment="1">
      <alignment horizontal="center"/>
    </xf>
    <xf numFmtId="2" fontId="0" fillId="0" borderId="59" xfId="0" applyNumberFormat="1" applyBorder="1" applyAlignment="1">
      <alignment horizontal="center"/>
    </xf>
    <xf numFmtId="176" fontId="0" fillId="0" borderId="57" xfId="0" applyNumberFormat="1" applyBorder="1" applyAlignment="1">
      <alignment horizontal="center"/>
    </xf>
    <xf numFmtId="0" fontId="0" fillId="0" borderId="58" xfId="0" applyNumberFormat="1" applyBorder="1" applyAlignment="1">
      <alignment horizontal="center"/>
    </xf>
    <xf numFmtId="2" fontId="0" fillId="0" borderId="57" xfId="0" applyNumberFormat="1" applyBorder="1" applyAlignment="1">
      <alignment horizontal="center"/>
    </xf>
    <xf numFmtId="0" fontId="18" fillId="0" borderId="0" xfId="0" applyFont="1"/>
    <xf numFmtId="0" fontId="18" fillId="0" borderId="42" xfId="0" applyFont="1" applyBorder="1" applyAlignment="1">
      <alignment horizontal="center"/>
    </xf>
    <xf numFmtId="0" fontId="18" fillId="0" borderId="2" xfId="0" applyFont="1" applyBorder="1" applyAlignment="1">
      <alignment horizontal="center"/>
    </xf>
    <xf numFmtId="0" fontId="18" fillId="0" borderId="23" xfId="0" applyFont="1" applyBorder="1" applyAlignment="1">
      <alignment horizontal="center" vertical="center"/>
    </xf>
    <xf numFmtId="0" fontId="18" fillId="0" borderId="2" xfId="0" applyFont="1" applyBorder="1" applyAlignment="1">
      <alignment vertical="center"/>
    </xf>
    <xf numFmtId="0" fontId="26" fillId="0" borderId="3" xfId="0" applyFont="1" applyBorder="1" applyAlignment="1">
      <alignment horizontal="center"/>
    </xf>
    <xf numFmtId="0" fontId="26" fillId="0" borderId="22" xfId="0" applyFont="1" applyBorder="1" applyAlignment="1">
      <alignment horizontal="center"/>
    </xf>
    <xf numFmtId="0" fontId="26" fillId="0" borderId="23" xfId="0" applyFont="1" applyBorder="1" applyAlignment="1">
      <alignment horizontal="center"/>
    </xf>
    <xf numFmtId="0" fontId="18" fillId="0" borderId="23" xfId="0" applyFont="1" applyBorder="1" applyAlignment="1">
      <alignment horizontal="center"/>
    </xf>
    <xf numFmtId="164" fontId="27" fillId="0" borderId="41" xfId="0" applyNumberFormat="1" applyFont="1" applyBorder="1" applyAlignment="1">
      <alignment horizontal="center"/>
    </xf>
    <xf numFmtId="0" fontId="18" fillId="0" borderId="19" xfId="0" applyFont="1" applyBorder="1" applyAlignment="1">
      <alignment horizontal="center"/>
    </xf>
    <xf numFmtId="164" fontId="27" fillId="0" borderId="2" xfId="0" applyNumberFormat="1" applyFont="1" applyBorder="1" applyAlignment="1">
      <alignment horizontal="center"/>
    </xf>
    <xf numFmtId="0" fontId="26" fillId="0" borderId="3" xfId="0" applyFont="1" applyBorder="1"/>
    <xf numFmtId="0" fontId="26" fillId="0" borderId="18" xfId="0" applyFont="1" applyBorder="1"/>
    <xf numFmtId="0" fontId="18" fillId="0" borderId="2" xfId="0" applyFont="1" applyBorder="1" applyAlignment="1">
      <alignment horizontal="center" vertical="center"/>
    </xf>
    <xf numFmtId="164" fontId="18" fillId="0" borderId="23" xfId="0" applyNumberFormat="1" applyFont="1" applyBorder="1" applyAlignment="1">
      <alignment horizontal="center"/>
    </xf>
    <xf numFmtId="164" fontId="18" fillId="0" borderId="2" xfId="0" applyNumberFormat="1" applyFont="1" applyBorder="1" applyAlignment="1">
      <alignment horizontal="center"/>
    </xf>
    <xf numFmtId="164" fontId="2" fillId="0" borderId="2" xfId="3" applyNumberFormat="1" applyFont="1" applyFill="1" applyBorder="1" applyAlignment="1">
      <alignment horizontal="center"/>
    </xf>
    <xf numFmtId="164" fontId="2" fillId="0" borderId="17" xfId="3" applyNumberFormat="1" applyFont="1" applyFill="1" applyBorder="1" applyAlignment="1">
      <alignment horizontal="center"/>
    </xf>
    <xf numFmtId="164" fontId="2" fillId="0" borderId="13" xfId="3" applyNumberFormat="1" applyFont="1" applyFill="1" applyBorder="1" applyAlignment="1">
      <alignment horizontal="center"/>
    </xf>
    <xf numFmtId="0" fontId="2" fillId="0" borderId="8" xfId="3" applyNumberFormat="1" applyFont="1" applyFill="1" applyBorder="1" applyAlignment="1">
      <alignment horizontal="center"/>
    </xf>
    <xf numFmtId="2" fontId="2" fillId="0" borderId="38" xfId="3" applyNumberFormat="1" applyFont="1" applyFill="1" applyBorder="1" applyAlignment="1">
      <alignment horizontal="center"/>
    </xf>
    <xf numFmtId="164" fontId="2" fillId="0" borderId="38" xfId="3" applyNumberFormat="1" applyFont="1" applyFill="1" applyBorder="1" applyAlignment="1">
      <alignment horizontal="center"/>
    </xf>
    <xf numFmtId="2" fontId="18" fillId="0" borderId="2" xfId="0" applyNumberFormat="1" applyFont="1" applyBorder="1" applyAlignment="1">
      <alignment horizontal="center"/>
    </xf>
    <xf numFmtId="0" fontId="26" fillId="0" borderId="45" xfId="0" applyNumberFormat="1" applyFont="1" applyBorder="1" applyAlignment="1">
      <alignment horizontal="center" vertical="center"/>
    </xf>
    <xf numFmtId="0" fontId="0" fillId="0" borderId="48" xfId="0" applyNumberFormat="1" applyBorder="1" applyAlignment="1">
      <alignment vertical="center"/>
    </xf>
    <xf numFmtId="0" fontId="26" fillId="0" borderId="46" xfId="0" applyFont="1" applyBorder="1" applyAlignment="1">
      <alignment horizontal="center"/>
    </xf>
    <xf numFmtId="0" fontId="0" fillId="0" borderId="47" xfId="0" applyBorder="1" applyAlignment="1">
      <alignment horizontal="center"/>
    </xf>
    <xf numFmtId="0" fontId="2" fillId="0" borderId="0" xfId="2" applyFont="1" applyFill="1" applyAlignment="1">
      <alignment horizontal="left" vertical="top" wrapText="1"/>
    </xf>
    <xf numFmtId="0" fontId="26" fillId="0" borderId="23" xfId="0" applyFont="1" applyBorder="1" applyAlignment="1">
      <alignment horizontal="center" vertical="center"/>
    </xf>
    <xf numFmtId="0" fontId="0" fillId="0" borderId="2" xfId="0" applyBorder="1" applyAlignment="1">
      <alignment vertical="center"/>
    </xf>
    <xf numFmtId="0" fontId="2" fillId="0" borderId="0" xfId="2" applyFont="1" applyFill="1" applyBorder="1" applyAlignment="1">
      <alignment horizontal="right"/>
    </xf>
    <xf numFmtId="0" fontId="2" fillId="0" borderId="0" xfId="2" applyFont="1" applyFill="1" applyBorder="1" applyAlignment="1">
      <alignment horizontal="right" vertical="center"/>
    </xf>
    <xf numFmtId="0" fontId="2" fillId="0" borderId="22" xfId="2" applyFont="1" applyFill="1" applyBorder="1" applyAlignment="1">
      <alignment horizontal="center"/>
    </xf>
    <xf numFmtId="0" fontId="2" fillId="0" borderId="18" xfId="2" applyFont="1" applyFill="1" applyBorder="1" applyAlignment="1">
      <alignment horizontal="center"/>
    </xf>
    <xf numFmtId="0" fontId="3" fillId="0" borderId="0" xfId="2" applyFont="1" applyFill="1" applyBorder="1" applyAlignment="1">
      <alignment horizontal="right" vertical="center" wrapText="1"/>
    </xf>
    <xf numFmtId="0" fontId="2" fillId="0" borderId="23" xfId="2" applyFont="1" applyFill="1" applyBorder="1" applyAlignment="1">
      <alignment horizontal="center" vertical="center" wrapText="1"/>
    </xf>
    <xf numFmtId="0" fontId="2" fillId="0" borderId="38" xfId="2" applyFont="1" applyFill="1" applyBorder="1" applyAlignment="1">
      <alignment horizontal="center" vertical="center" wrapText="1"/>
    </xf>
    <xf numFmtId="0" fontId="2" fillId="0" borderId="2" xfId="2" applyFont="1" applyFill="1" applyBorder="1" applyAlignment="1">
      <alignment horizontal="center" vertical="center" wrapText="1"/>
    </xf>
    <xf numFmtId="0" fontId="2" fillId="0" borderId="33" xfId="2" applyFont="1" applyFill="1" applyBorder="1" applyAlignment="1">
      <alignment horizontal="center" vertical="center"/>
    </xf>
    <xf numFmtId="0" fontId="2" fillId="0" borderId="36" xfId="2" applyFont="1" applyFill="1" applyBorder="1" applyAlignment="1">
      <alignment horizontal="center" vertical="center"/>
    </xf>
    <xf numFmtId="0" fontId="2" fillId="0" borderId="23" xfId="3" applyFont="1" applyFill="1" applyBorder="1" applyAlignment="1">
      <alignment horizontal="center" vertical="center" wrapText="1"/>
    </xf>
    <xf numFmtId="0" fontId="2" fillId="0" borderId="38" xfId="3" applyFont="1" applyFill="1" applyBorder="1" applyAlignment="1">
      <alignment horizontal="center" vertical="center" wrapText="1"/>
    </xf>
    <xf numFmtId="0" fontId="2" fillId="0" borderId="2" xfId="3" applyFont="1" applyFill="1" applyBorder="1" applyAlignment="1">
      <alignment horizontal="center" vertical="center" wrapText="1"/>
    </xf>
    <xf numFmtId="1" fontId="2" fillId="0" borderId="40" xfId="0" applyNumberFormat="1" applyFont="1" applyFill="1" applyBorder="1" applyAlignment="1">
      <alignment horizontal="center" vertical="center" wrapText="1"/>
    </xf>
    <xf numFmtId="1" fontId="2" fillId="0" borderId="36" xfId="0" applyNumberFormat="1" applyFont="1" applyFill="1" applyBorder="1" applyAlignment="1">
      <alignment horizontal="center" vertical="center" wrapText="1"/>
    </xf>
    <xf numFmtId="172" fontId="3" fillId="0" borderId="0" xfId="2" applyNumberFormat="1" applyFont="1" applyFill="1" applyAlignment="1">
      <alignment horizontal="center"/>
    </xf>
    <xf numFmtId="0" fontId="2" fillId="0" borderId="0" xfId="2" applyFont="1" applyFill="1" applyAlignment="1">
      <alignment horizontal="center"/>
    </xf>
    <xf numFmtId="0" fontId="2" fillId="0" borderId="32" xfId="2" applyFont="1" applyFill="1" applyBorder="1" applyAlignment="1">
      <alignment horizontal="center" vertical="center"/>
    </xf>
    <xf numFmtId="0" fontId="2" fillId="0" borderId="27" xfId="2" applyFont="1" applyFill="1" applyBorder="1" applyAlignment="1">
      <alignment horizontal="center" vertical="center"/>
    </xf>
    <xf numFmtId="0" fontId="2" fillId="0" borderId="42"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4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22" xfId="3" applyFont="1" applyFill="1" applyBorder="1" applyAlignment="1">
      <alignment horizontal="center"/>
    </xf>
    <xf numFmtId="0" fontId="2" fillId="0" borderId="21" xfId="3" applyFont="1" applyFill="1" applyBorder="1" applyAlignment="1">
      <alignment horizontal="center"/>
    </xf>
    <xf numFmtId="0" fontId="2" fillId="0" borderId="18" xfId="3" applyFont="1" applyFill="1" applyBorder="1" applyAlignment="1">
      <alignment horizontal="center"/>
    </xf>
    <xf numFmtId="0" fontId="2" fillId="0" borderId="3" xfId="2" applyFont="1" applyFill="1" applyBorder="1" applyAlignment="1">
      <alignment horizontal="center"/>
    </xf>
    <xf numFmtId="0" fontId="2" fillId="0" borderId="42" xfId="2" applyFont="1" applyFill="1" applyBorder="1" applyAlignment="1">
      <alignment horizontal="center"/>
    </xf>
    <xf numFmtId="0" fontId="2" fillId="0" borderId="41" xfId="2" applyFont="1" applyFill="1" applyBorder="1" applyAlignment="1">
      <alignment horizontal="center"/>
    </xf>
    <xf numFmtId="0" fontId="2" fillId="0" borderId="23"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1" xfId="2" applyFont="1" applyFill="1" applyBorder="1" applyAlignment="1">
      <alignment horizontal="center"/>
    </xf>
    <xf numFmtId="1" fontId="3" fillId="0" borderId="22" xfId="3" applyNumberFormat="1" applyFont="1" applyFill="1" applyBorder="1" applyAlignment="1">
      <alignment horizontal="center"/>
    </xf>
    <xf numFmtId="1" fontId="3" fillId="0" borderId="21" xfId="3" applyNumberFormat="1" applyFont="1" applyFill="1" applyBorder="1" applyAlignment="1">
      <alignment horizontal="center"/>
    </xf>
    <xf numFmtId="1" fontId="3" fillId="0" borderId="18" xfId="3" applyNumberFormat="1" applyFont="1" applyFill="1" applyBorder="1" applyAlignment="1">
      <alignment horizontal="center"/>
    </xf>
    <xf numFmtId="1" fontId="2" fillId="0" borderId="42" xfId="0" applyNumberFormat="1" applyFont="1" applyFill="1" applyBorder="1" applyAlignment="1">
      <alignment horizontal="center" vertical="center" wrapText="1"/>
    </xf>
    <xf numFmtId="1" fontId="2" fillId="0" borderId="41" xfId="0" applyNumberFormat="1" applyFont="1" applyFill="1" applyBorder="1" applyAlignment="1">
      <alignment horizontal="center" vertical="center" wrapText="1"/>
    </xf>
    <xf numFmtId="0" fontId="2" fillId="0" borderId="23" xfId="2" applyFont="1" applyFill="1" applyBorder="1" applyAlignment="1">
      <alignment horizontal="center" vertical="center"/>
    </xf>
    <xf numFmtId="0" fontId="2" fillId="0" borderId="38" xfId="2" applyFont="1" applyFill="1" applyBorder="1" applyAlignment="1">
      <alignment horizontal="center" vertical="center"/>
    </xf>
    <xf numFmtId="0" fontId="2" fillId="0" borderId="2" xfId="2" applyFont="1" applyFill="1" applyBorder="1" applyAlignment="1">
      <alignment horizontal="center" vertical="center"/>
    </xf>
    <xf numFmtId="1" fontId="2" fillId="0" borderId="23" xfId="0" applyNumberFormat="1" applyFont="1" applyFill="1" applyBorder="1" applyAlignment="1">
      <alignment horizontal="center" vertical="center" wrapText="1"/>
    </xf>
    <xf numFmtId="1" fontId="2" fillId="0" borderId="38"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164" fontId="0" fillId="0" borderId="51" xfId="0" applyNumberFormat="1" applyBorder="1" applyAlignment="1">
      <alignment horizontal="center"/>
    </xf>
  </cellXfs>
  <cellStyles count="51">
    <cellStyle name="Camp Document Field" xfId="4"/>
    <cellStyle name="Camp Document Record" xfId="5"/>
    <cellStyle name="Camp Document Table" xfId="6"/>
    <cellStyle name="CAMP H-Label 2" xfId="7"/>
    <cellStyle name="CAMP H-Label 3 Inclined" xfId="8"/>
    <cellStyle name="Camp Input Field General" xfId="9"/>
    <cellStyle name="Camp Input Field Meas" xfId="10"/>
    <cellStyle name="Camp Input Field Percent" xfId="11"/>
    <cellStyle name="Camp Label Column" xfId="12"/>
    <cellStyle name="Camp Label Column 2" xfId="13"/>
    <cellStyle name="Camp Label Column 3" xfId="14"/>
    <cellStyle name="Camp Label Column 4" xfId="15"/>
    <cellStyle name="Camp Output Field" xfId="16"/>
    <cellStyle name="Camp Output Field  Without Red" xfId="17"/>
    <cellStyle name="Camp Output Field General" xfId="18"/>
    <cellStyle name="Camp Output Field Green" xfId="19"/>
    <cellStyle name="Camp Output Field Green B&amp;W" xfId="20"/>
    <cellStyle name="Camp Output Field Percent" xfId="21"/>
    <cellStyle name="Camp Output Field Percent Green B&amp;W" xfId="22"/>
    <cellStyle name="Camp Output Field Percent Red B&amp;W" xfId="23"/>
    <cellStyle name="Camp Output Field Percent With Red" xfId="24"/>
    <cellStyle name="Camp Output Field Percent Yellow B&amp;W" xfId="25"/>
    <cellStyle name="Camp Output Field Red" xfId="26"/>
    <cellStyle name="Camp Output Field Red B&amp;W" xfId="27"/>
    <cellStyle name="Camp Output Field Yellow" xfId="28"/>
    <cellStyle name="Camp Output Field Yellow B&amp;W" xfId="29"/>
    <cellStyle name="Camp Percent" xfId="30"/>
    <cellStyle name="Camp System" xfId="31"/>
    <cellStyle name="Camp Validator Gray Percent" xfId="32"/>
    <cellStyle name="Camp Validator Gray Value" xfId="33"/>
    <cellStyle name="Camp Validator Green Percent" xfId="34"/>
    <cellStyle name="Camp Validator Green Value" xfId="35"/>
    <cellStyle name="Camp Validator Red Percent" xfId="36"/>
    <cellStyle name="Camp Validator Red Value" xfId="37"/>
    <cellStyle name="Camp Validator Yellow Percent" xfId="38"/>
    <cellStyle name="Camp Validator Yellow Value" xfId="39"/>
    <cellStyle name="CAMP V-Label 3" xfId="40"/>
    <cellStyle name="CampValidationCorrect" xfId="41"/>
    <cellStyle name="CampValidationCorrectable" xfId="42"/>
    <cellStyle name="CampValidationNoData" xfId="43"/>
    <cellStyle name="CampValidationUncorrectable" xfId="44"/>
    <cellStyle name="Comma" xfId="1" builtinId="3"/>
    <cellStyle name="Comma0" xfId="45"/>
    <cellStyle name="Currency0" xfId="46"/>
    <cellStyle name="Date" xfId="47"/>
    <cellStyle name="Fixed" xfId="48"/>
    <cellStyle name="Left" xfId="49"/>
    <cellStyle name="Normal" xfId="0" builtinId="0"/>
    <cellStyle name="Normal_CN-14-16(Third Comp)" xfId="3"/>
    <cellStyle name="Normal_CNF22" xfId="2"/>
    <cellStyle name="Right" xfId="50"/>
  </cellStyles>
  <dxfs count="20">
    <dxf>
      <fill>
        <patternFill>
          <bgColor indexed="42"/>
        </patternFill>
      </fill>
    </dxf>
    <dxf>
      <font>
        <condense val="0"/>
        <extend val="0"/>
        <color indexed="9"/>
      </font>
      <fill>
        <patternFill patternType="solid">
          <bgColor indexed="9"/>
        </patternFill>
      </fill>
    </dxf>
    <dxf>
      <fill>
        <patternFill>
          <bgColor indexed="43"/>
        </patternFill>
      </fill>
    </dxf>
    <dxf>
      <font>
        <condense val="0"/>
        <extend val="0"/>
        <color indexed="9"/>
      </font>
    </dxf>
    <dxf>
      <fill>
        <patternFill>
          <bgColor indexed="43"/>
        </patternFill>
      </fill>
    </dxf>
    <dxf>
      <font>
        <condense val="0"/>
        <extend val="0"/>
        <color indexed="9"/>
      </font>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dxf>
    <dxf>
      <font>
        <condense val="0"/>
        <extend val="0"/>
        <color indexed="10"/>
      </font>
    </dxf>
    <dxf>
      <fill>
        <patternFill>
          <bgColor indexed="43"/>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ont>
        <condense val="0"/>
        <extend val="0"/>
        <color indexed="9"/>
      </font>
      <fill>
        <patternFill>
          <bgColor indexed="9"/>
        </patternFill>
      </fill>
    </dxf>
    <dxf>
      <fill>
        <patternFill>
          <bgColor indexed="43"/>
        </patternFill>
      </fill>
    </dxf>
    <dxf>
      <font>
        <condense val="0"/>
        <extend val="0"/>
        <color indexed="9"/>
      </font>
      <fill>
        <patternFill patternType="solid">
          <bgColor indexed="9"/>
        </patternFill>
      </fill>
    </dxf>
    <dxf>
      <fill>
        <patternFill>
          <bgColor indexed="43"/>
        </patternFill>
      </fill>
    </dxf>
    <dxf>
      <fill>
        <patternFill>
          <bgColor indexed="43"/>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sz="1050" b="1" i="0" u="none" strike="noStrike" baseline="0">
                <a:solidFill>
                  <a:srgbClr val="000000"/>
                </a:solidFill>
                <a:latin typeface="Arial"/>
                <a:ea typeface="Arial"/>
                <a:cs typeface="Arial"/>
              </a:defRPr>
            </a:pPr>
            <a:r>
              <a:rPr lang="en-CA"/>
              <a:t>Gravity Tails, CN Leach Kinetics</a:t>
            </a:r>
          </a:p>
        </c:rich>
      </c:tx>
      <c:layout>
        <c:manualLayout>
          <c:xMode val="edge"/>
          <c:yMode val="edge"/>
          <c:x val="0.31261101243339229"/>
          <c:y val="3.5598705501618151E-2"/>
        </c:manualLayout>
      </c:layout>
      <c:spPr>
        <a:noFill/>
        <a:ln w="25400">
          <a:noFill/>
        </a:ln>
      </c:spPr>
    </c:title>
    <c:plotArea>
      <c:layout>
        <c:manualLayout>
          <c:layoutTarget val="inner"/>
          <c:xMode val="edge"/>
          <c:yMode val="edge"/>
          <c:x val="0.12788632326820587"/>
          <c:y val="0.16828478964401292"/>
          <c:w val="0.82593250444049771"/>
          <c:h val="0.61165048543689493"/>
        </c:manualLayout>
      </c:layout>
      <c:scatterChart>
        <c:scatterStyle val="lineMarker"/>
        <c:ser>
          <c:idx val="2"/>
          <c:order val="0"/>
          <c:tx>
            <c:strRef>
              <c:f>Results!$B$6</c:f>
              <c:strCache>
                <c:ptCount val="1"/>
                <c:pt idx="0">
                  <c:v>CN-1, BS-3A13-03,Gravity tail, 75 µm</c:v>
                </c:pt>
              </c:strCache>
            </c:strRef>
          </c:tx>
          <c:spPr>
            <a:ln w="12700">
              <a:solidFill>
                <a:srgbClr val="000000"/>
              </a:solidFill>
              <a:prstDash val="solid"/>
            </a:ln>
          </c:spPr>
          <c:marker>
            <c:symbol val="triangle"/>
            <c:size val="5"/>
            <c:spPr>
              <a:solidFill>
                <a:srgbClr val="FFFF00"/>
              </a:solidFill>
              <a:ln>
                <a:solidFill>
                  <a:srgbClr val="000000"/>
                </a:solidFill>
                <a:prstDash val="solid"/>
              </a:ln>
            </c:spPr>
          </c:marker>
          <c:xVal>
            <c:numRef>
              <c:f>Results!$I$4:$I$7</c:f>
              <c:numCache>
                <c:formatCode>General</c:formatCode>
                <c:ptCount val="4"/>
                <c:pt idx="0">
                  <c:v>2</c:v>
                </c:pt>
                <c:pt idx="1">
                  <c:v>8</c:v>
                </c:pt>
                <c:pt idx="2">
                  <c:v>24</c:v>
                </c:pt>
                <c:pt idx="3">
                  <c:v>48</c:v>
                </c:pt>
              </c:numCache>
            </c:numRef>
          </c:xVal>
          <c:yVal>
            <c:numRef>
              <c:f>'CN-1'!$M$35:$M$38</c:f>
              <c:numCache>
                <c:formatCode>0.0</c:formatCode>
                <c:ptCount val="4"/>
                <c:pt idx="0">
                  <c:v>54.12353025908596</c:v>
                </c:pt>
                <c:pt idx="1">
                  <c:v>72.935671643443129</c:v>
                </c:pt>
                <c:pt idx="2">
                  <c:v>86.3044534963893</c:v>
                </c:pt>
                <c:pt idx="3">
                  <c:v>90.233898694831737</c:v>
                </c:pt>
              </c:numCache>
            </c:numRef>
          </c:yVal>
        </c:ser>
        <c:axId val="76990336"/>
        <c:axId val="74392320"/>
      </c:scatterChart>
      <c:valAx>
        <c:axId val="76990336"/>
        <c:scaling>
          <c:orientation val="minMax"/>
          <c:max val="54"/>
          <c:min val="0"/>
        </c:scaling>
        <c:axPos val="b"/>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CA"/>
                  <a:t>Time (hour)</a:t>
                </a:r>
              </a:p>
            </c:rich>
          </c:tx>
          <c:layout>
            <c:manualLayout>
              <c:xMode val="edge"/>
              <c:yMode val="edge"/>
              <c:x val="0.47246891651865103"/>
              <c:y val="0.87702537182852314"/>
            </c:manualLayout>
          </c:layout>
          <c:spPr>
            <a:noFill/>
            <a:ln w="25400">
              <a:noFill/>
            </a:ln>
          </c:spPr>
        </c:title>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74392320"/>
        <c:crosses val="autoZero"/>
        <c:crossBetween val="midCat"/>
        <c:majorUnit val="6"/>
      </c:valAx>
      <c:valAx>
        <c:axId val="74392320"/>
        <c:scaling>
          <c:orientation val="minMax"/>
          <c:max val="100"/>
        </c:scaling>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CA"/>
                  <a:t>Au Recovery (%)</a:t>
                </a:r>
              </a:p>
            </c:rich>
          </c:tx>
          <c:layout>
            <c:manualLayout>
              <c:xMode val="edge"/>
              <c:yMode val="edge"/>
              <c:x val="2.8419182948490228E-2"/>
              <c:y val="0.31715312284993502"/>
            </c:manualLayout>
          </c:layout>
          <c:spPr>
            <a:noFill/>
            <a:ln w="25400">
              <a:noFill/>
            </a:ln>
          </c:spPr>
        </c:title>
        <c:numFmt formatCode="0" sourceLinked="0"/>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76990336"/>
        <c:crosses val="autoZero"/>
        <c:crossBetween val="midCat"/>
      </c:valAx>
      <c:spPr>
        <a:solidFill>
          <a:srgbClr val="FFFFFF"/>
        </a:solidFill>
        <a:ln w="12700">
          <a:solidFill>
            <a:srgbClr val="808080"/>
          </a:solidFill>
          <a:prstDash val="solid"/>
        </a:ln>
      </c:spPr>
    </c:plotArea>
    <c:legend>
      <c:legendPos val="r"/>
      <c:layout>
        <c:manualLayout>
          <c:xMode val="edge"/>
          <c:yMode val="edge"/>
          <c:x val="0.51332149200710475"/>
          <c:y val="0.56957928802589064"/>
          <c:w val="0.40674955595026641"/>
          <c:h val="0.16828478964401292"/>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9</xdr:row>
      <xdr:rowOff>152400</xdr:rowOff>
    </xdr:from>
    <xdr:to>
      <xdr:col>5</xdr:col>
      <xdr:colOff>0</xdr:colOff>
      <xdr:row>28</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I8"/>
  <sheetViews>
    <sheetView workbookViewId="0">
      <selection activeCell="B4" sqref="B4:H6"/>
    </sheetView>
  </sheetViews>
  <sheetFormatPr defaultRowHeight="12.75"/>
  <cols>
    <col min="2" max="2" width="32.5703125" customWidth="1"/>
    <col min="3" max="3" width="13.7109375" customWidth="1"/>
    <col min="4" max="4" width="13.28515625" customWidth="1"/>
    <col min="5" max="5" width="12.85546875" customWidth="1"/>
    <col min="6" max="6" width="12.28515625" customWidth="1"/>
    <col min="7" max="7" width="14.42578125" customWidth="1"/>
    <col min="8" max="8" width="17" customWidth="1"/>
    <col min="258" max="258" width="32.5703125" customWidth="1"/>
    <col min="259" max="259" width="13.7109375" customWidth="1"/>
    <col min="260" max="260" width="13.28515625" customWidth="1"/>
    <col min="261" max="261" width="21.5703125" customWidth="1"/>
    <col min="262" max="262" width="14" customWidth="1"/>
    <col min="263" max="263" width="16.85546875" customWidth="1"/>
    <col min="514" max="514" width="32.5703125" customWidth="1"/>
    <col min="515" max="515" width="13.7109375" customWidth="1"/>
    <col min="516" max="516" width="13.28515625" customWidth="1"/>
    <col min="517" max="517" width="21.5703125" customWidth="1"/>
    <col min="518" max="518" width="14" customWidth="1"/>
    <col min="519" max="519" width="16.85546875" customWidth="1"/>
    <col min="770" max="770" width="32.5703125" customWidth="1"/>
    <col min="771" max="771" width="13.7109375" customWidth="1"/>
    <col min="772" max="772" width="13.28515625" customWidth="1"/>
    <col min="773" max="773" width="21.5703125" customWidth="1"/>
    <col min="774" max="774" width="14" customWidth="1"/>
    <col min="775" max="775" width="16.85546875" customWidth="1"/>
    <col min="1026" max="1026" width="32.5703125" customWidth="1"/>
    <col min="1027" max="1027" width="13.7109375" customWidth="1"/>
    <col min="1028" max="1028" width="13.28515625" customWidth="1"/>
    <col min="1029" max="1029" width="21.5703125" customWidth="1"/>
    <col min="1030" max="1030" width="14" customWidth="1"/>
    <col min="1031" max="1031" width="16.85546875" customWidth="1"/>
    <col min="1282" max="1282" width="32.5703125" customWidth="1"/>
    <col min="1283" max="1283" width="13.7109375" customWidth="1"/>
    <col min="1284" max="1284" width="13.28515625" customWidth="1"/>
    <col min="1285" max="1285" width="21.5703125" customWidth="1"/>
    <col min="1286" max="1286" width="14" customWidth="1"/>
    <col min="1287" max="1287" width="16.85546875" customWidth="1"/>
    <col min="1538" max="1538" width="32.5703125" customWidth="1"/>
    <col min="1539" max="1539" width="13.7109375" customWidth="1"/>
    <col min="1540" max="1540" width="13.28515625" customWidth="1"/>
    <col min="1541" max="1541" width="21.5703125" customWidth="1"/>
    <col min="1542" max="1542" width="14" customWidth="1"/>
    <col min="1543" max="1543" width="16.85546875" customWidth="1"/>
    <col min="1794" max="1794" width="32.5703125" customWidth="1"/>
    <col min="1795" max="1795" width="13.7109375" customWidth="1"/>
    <col min="1796" max="1796" width="13.28515625" customWidth="1"/>
    <col min="1797" max="1797" width="21.5703125" customWidth="1"/>
    <col min="1798" max="1798" width="14" customWidth="1"/>
    <col min="1799" max="1799" width="16.85546875" customWidth="1"/>
    <col min="2050" max="2050" width="32.5703125" customWidth="1"/>
    <col min="2051" max="2051" width="13.7109375" customWidth="1"/>
    <col min="2052" max="2052" width="13.28515625" customWidth="1"/>
    <col min="2053" max="2053" width="21.5703125" customWidth="1"/>
    <col min="2054" max="2054" width="14" customWidth="1"/>
    <col min="2055" max="2055" width="16.85546875" customWidth="1"/>
    <col min="2306" max="2306" width="32.5703125" customWidth="1"/>
    <col min="2307" max="2307" width="13.7109375" customWidth="1"/>
    <col min="2308" max="2308" width="13.28515625" customWidth="1"/>
    <col min="2309" max="2309" width="21.5703125" customWidth="1"/>
    <col min="2310" max="2310" width="14" customWidth="1"/>
    <col min="2311" max="2311" width="16.85546875" customWidth="1"/>
    <col min="2562" max="2562" width="32.5703125" customWidth="1"/>
    <col min="2563" max="2563" width="13.7109375" customWidth="1"/>
    <col min="2564" max="2564" width="13.28515625" customWidth="1"/>
    <col min="2565" max="2565" width="21.5703125" customWidth="1"/>
    <col min="2566" max="2566" width="14" customWidth="1"/>
    <col min="2567" max="2567" width="16.85546875" customWidth="1"/>
    <col min="2818" max="2818" width="32.5703125" customWidth="1"/>
    <col min="2819" max="2819" width="13.7109375" customWidth="1"/>
    <col min="2820" max="2820" width="13.28515625" customWidth="1"/>
    <col min="2821" max="2821" width="21.5703125" customWidth="1"/>
    <col min="2822" max="2822" width="14" customWidth="1"/>
    <col min="2823" max="2823" width="16.85546875" customWidth="1"/>
    <col min="3074" max="3074" width="32.5703125" customWidth="1"/>
    <col min="3075" max="3075" width="13.7109375" customWidth="1"/>
    <col min="3076" max="3076" width="13.28515625" customWidth="1"/>
    <col min="3077" max="3077" width="21.5703125" customWidth="1"/>
    <col min="3078" max="3078" width="14" customWidth="1"/>
    <col min="3079" max="3079" width="16.85546875" customWidth="1"/>
    <col min="3330" max="3330" width="32.5703125" customWidth="1"/>
    <col min="3331" max="3331" width="13.7109375" customWidth="1"/>
    <col min="3332" max="3332" width="13.28515625" customWidth="1"/>
    <col min="3333" max="3333" width="21.5703125" customWidth="1"/>
    <col min="3334" max="3334" width="14" customWidth="1"/>
    <col min="3335" max="3335" width="16.85546875" customWidth="1"/>
    <col min="3586" max="3586" width="32.5703125" customWidth="1"/>
    <col min="3587" max="3587" width="13.7109375" customWidth="1"/>
    <col min="3588" max="3588" width="13.28515625" customWidth="1"/>
    <col min="3589" max="3589" width="21.5703125" customWidth="1"/>
    <col min="3590" max="3590" width="14" customWidth="1"/>
    <col min="3591" max="3591" width="16.85546875" customWidth="1"/>
    <col min="3842" max="3842" width="32.5703125" customWidth="1"/>
    <col min="3843" max="3843" width="13.7109375" customWidth="1"/>
    <col min="3844" max="3844" width="13.28515625" customWidth="1"/>
    <col min="3845" max="3845" width="21.5703125" customWidth="1"/>
    <col min="3846" max="3846" width="14" customWidth="1"/>
    <col min="3847" max="3847" width="16.85546875" customWidth="1"/>
    <col min="4098" max="4098" width="32.5703125" customWidth="1"/>
    <col min="4099" max="4099" width="13.7109375" customWidth="1"/>
    <col min="4100" max="4100" width="13.28515625" customWidth="1"/>
    <col min="4101" max="4101" width="21.5703125" customWidth="1"/>
    <col min="4102" max="4102" width="14" customWidth="1"/>
    <col min="4103" max="4103" width="16.85546875" customWidth="1"/>
    <col min="4354" max="4354" width="32.5703125" customWidth="1"/>
    <col min="4355" max="4355" width="13.7109375" customWidth="1"/>
    <col min="4356" max="4356" width="13.28515625" customWidth="1"/>
    <col min="4357" max="4357" width="21.5703125" customWidth="1"/>
    <col min="4358" max="4358" width="14" customWidth="1"/>
    <col min="4359" max="4359" width="16.85546875" customWidth="1"/>
    <col min="4610" max="4610" width="32.5703125" customWidth="1"/>
    <col min="4611" max="4611" width="13.7109375" customWidth="1"/>
    <col min="4612" max="4612" width="13.28515625" customWidth="1"/>
    <col min="4613" max="4613" width="21.5703125" customWidth="1"/>
    <col min="4614" max="4614" width="14" customWidth="1"/>
    <col min="4615" max="4615" width="16.85546875" customWidth="1"/>
    <col min="4866" max="4866" width="32.5703125" customWidth="1"/>
    <col min="4867" max="4867" width="13.7109375" customWidth="1"/>
    <col min="4868" max="4868" width="13.28515625" customWidth="1"/>
    <col min="4869" max="4869" width="21.5703125" customWidth="1"/>
    <col min="4870" max="4870" width="14" customWidth="1"/>
    <col min="4871" max="4871" width="16.85546875" customWidth="1"/>
    <col min="5122" max="5122" width="32.5703125" customWidth="1"/>
    <col min="5123" max="5123" width="13.7109375" customWidth="1"/>
    <col min="5124" max="5124" width="13.28515625" customWidth="1"/>
    <col min="5125" max="5125" width="21.5703125" customWidth="1"/>
    <col min="5126" max="5126" width="14" customWidth="1"/>
    <col min="5127" max="5127" width="16.85546875" customWidth="1"/>
    <col min="5378" max="5378" width="32.5703125" customWidth="1"/>
    <col min="5379" max="5379" width="13.7109375" customWidth="1"/>
    <col min="5380" max="5380" width="13.28515625" customWidth="1"/>
    <col min="5381" max="5381" width="21.5703125" customWidth="1"/>
    <col min="5382" max="5382" width="14" customWidth="1"/>
    <col min="5383" max="5383" width="16.85546875" customWidth="1"/>
    <col min="5634" max="5634" width="32.5703125" customWidth="1"/>
    <col min="5635" max="5635" width="13.7109375" customWidth="1"/>
    <col min="5636" max="5636" width="13.28515625" customWidth="1"/>
    <col min="5637" max="5637" width="21.5703125" customWidth="1"/>
    <col min="5638" max="5638" width="14" customWidth="1"/>
    <col min="5639" max="5639" width="16.85546875" customWidth="1"/>
    <col min="5890" max="5890" width="32.5703125" customWidth="1"/>
    <col min="5891" max="5891" width="13.7109375" customWidth="1"/>
    <col min="5892" max="5892" width="13.28515625" customWidth="1"/>
    <col min="5893" max="5893" width="21.5703125" customWidth="1"/>
    <col min="5894" max="5894" width="14" customWidth="1"/>
    <col min="5895" max="5895" width="16.85546875" customWidth="1"/>
    <col min="6146" max="6146" width="32.5703125" customWidth="1"/>
    <col min="6147" max="6147" width="13.7109375" customWidth="1"/>
    <col min="6148" max="6148" width="13.28515625" customWidth="1"/>
    <col min="6149" max="6149" width="21.5703125" customWidth="1"/>
    <col min="6150" max="6150" width="14" customWidth="1"/>
    <col min="6151" max="6151" width="16.85546875" customWidth="1"/>
    <col min="6402" max="6402" width="32.5703125" customWidth="1"/>
    <col min="6403" max="6403" width="13.7109375" customWidth="1"/>
    <col min="6404" max="6404" width="13.28515625" customWidth="1"/>
    <col min="6405" max="6405" width="21.5703125" customWidth="1"/>
    <col min="6406" max="6406" width="14" customWidth="1"/>
    <col min="6407" max="6407" width="16.85546875" customWidth="1"/>
    <col min="6658" max="6658" width="32.5703125" customWidth="1"/>
    <col min="6659" max="6659" width="13.7109375" customWidth="1"/>
    <col min="6660" max="6660" width="13.28515625" customWidth="1"/>
    <col min="6661" max="6661" width="21.5703125" customWidth="1"/>
    <col min="6662" max="6662" width="14" customWidth="1"/>
    <col min="6663" max="6663" width="16.85546875" customWidth="1"/>
    <col min="6914" max="6914" width="32.5703125" customWidth="1"/>
    <col min="6915" max="6915" width="13.7109375" customWidth="1"/>
    <col min="6916" max="6916" width="13.28515625" customWidth="1"/>
    <col min="6917" max="6917" width="21.5703125" customWidth="1"/>
    <col min="6918" max="6918" width="14" customWidth="1"/>
    <col min="6919" max="6919" width="16.85546875" customWidth="1"/>
    <col min="7170" max="7170" width="32.5703125" customWidth="1"/>
    <col min="7171" max="7171" width="13.7109375" customWidth="1"/>
    <col min="7172" max="7172" width="13.28515625" customWidth="1"/>
    <col min="7173" max="7173" width="21.5703125" customWidth="1"/>
    <col min="7174" max="7174" width="14" customWidth="1"/>
    <col min="7175" max="7175" width="16.85546875" customWidth="1"/>
    <col min="7426" max="7426" width="32.5703125" customWidth="1"/>
    <col min="7427" max="7427" width="13.7109375" customWidth="1"/>
    <col min="7428" max="7428" width="13.28515625" customWidth="1"/>
    <col min="7429" max="7429" width="21.5703125" customWidth="1"/>
    <col min="7430" max="7430" width="14" customWidth="1"/>
    <col min="7431" max="7431" width="16.85546875" customWidth="1"/>
    <col min="7682" max="7682" width="32.5703125" customWidth="1"/>
    <col min="7683" max="7683" width="13.7109375" customWidth="1"/>
    <col min="7684" max="7684" width="13.28515625" customWidth="1"/>
    <col min="7685" max="7685" width="21.5703125" customWidth="1"/>
    <col min="7686" max="7686" width="14" customWidth="1"/>
    <col min="7687" max="7687" width="16.85546875" customWidth="1"/>
    <col min="7938" max="7938" width="32.5703125" customWidth="1"/>
    <col min="7939" max="7939" width="13.7109375" customWidth="1"/>
    <col min="7940" max="7940" width="13.28515625" customWidth="1"/>
    <col min="7941" max="7941" width="21.5703125" customWidth="1"/>
    <col min="7942" max="7942" width="14" customWidth="1"/>
    <col min="7943" max="7943" width="16.85546875" customWidth="1"/>
    <col min="8194" max="8194" width="32.5703125" customWidth="1"/>
    <col min="8195" max="8195" width="13.7109375" customWidth="1"/>
    <col min="8196" max="8196" width="13.28515625" customWidth="1"/>
    <col min="8197" max="8197" width="21.5703125" customWidth="1"/>
    <col min="8198" max="8198" width="14" customWidth="1"/>
    <col min="8199" max="8199" width="16.85546875" customWidth="1"/>
    <col min="8450" max="8450" width="32.5703125" customWidth="1"/>
    <col min="8451" max="8451" width="13.7109375" customWidth="1"/>
    <col min="8452" max="8452" width="13.28515625" customWidth="1"/>
    <col min="8453" max="8453" width="21.5703125" customWidth="1"/>
    <col min="8454" max="8454" width="14" customWidth="1"/>
    <col min="8455" max="8455" width="16.85546875" customWidth="1"/>
    <col min="8706" max="8706" width="32.5703125" customWidth="1"/>
    <col min="8707" max="8707" width="13.7109375" customWidth="1"/>
    <col min="8708" max="8708" width="13.28515625" customWidth="1"/>
    <col min="8709" max="8709" width="21.5703125" customWidth="1"/>
    <col min="8710" max="8710" width="14" customWidth="1"/>
    <col min="8711" max="8711" width="16.85546875" customWidth="1"/>
    <col min="8962" max="8962" width="32.5703125" customWidth="1"/>
    <col min="8963" max="8963" width="13.7109375" customWidth="1"/>
    <col min="8964" max="8964" width="13.28515625" customWidth="1"/>
    <col min="8965" max="8965" width="21.5703125" customWidth="1"/>
    <col min="8966" max="8966" width="14" customWidth="1"/>
    <col min="8967" max="8967" width="16.85546875" customWidth="1"/>
    <col min="9218" max="9218" width="32.5703125" customWidth="1"/>
    <col min="9219" max="9219" width="13.7109375" customWidth="1"/>
    <col min="9220" max="9220" width="13.28515625" customWidth="1"/>
    <col min="9221" max="9221" width="21.5703125" customWidth="1"/>
    <col min="9222" max="9222" width="14" customWidth="1"/>
    <col min="9223" max="9223" width="16.85546875" customWidth="1"/>
    <col min="9474" max="9474" width="32.5703125" customWidth="1"/>
    <col min="9475" max="9475" width="13.7109375" customWidth="1"/>
    <col min="9476" max="9476" width="13.28515625" customWidth="1"/>
    <col min="9477" max="9477" width="21.5703125" customWidth="1"/>
    <col min="9478" max="9478" width="14" customWidth="1"/>
    <col min="9479" max="9479" width="16.85546875" customWidth="1"/>
    <col min="9730" max="9730" width="32.5703125" customWidth="1"/>
    <col min="9731" max="9731" width="13.7109375" customWidth="1"/>
    <col min="9732" max="9732" width="13.28515625" customWidth="1"/>
    <col min="9733" max="9733" width="21.5703125" customWidth="1"/>
    <col min="9734" max="9734" width="14" customWidth="1"/>
    <col min="9735" max="9735" width="16.85546875" customWidth="1"/>
    <col min="9986" max="9986" width="32.5703125" customWidth="1"/>
    <col min="9987" max="9987" width="13.7109375" customWidth="1"/>
    <col min="9988" max="9988" width="13.28515625" customWidth="1"/>
    <col min="9989" max="9989" width="21.5703125" customWidth="1"/>
    <col min="9990" max="9990" width="14" customWidth="1"/>
    <col min="9991" max="9991" width="16.85546875" customWidth="1"/>
    <col min="10242" max="10242" width="32.5703125" customWidth="1"/>
    <col min="10243" max="10243" width="13.7109375" customWidth="1"/>
    <col min="10244" max="10244" width="13.28515625" customWidth="1"/>
    <col min="10245" max="10245" width="21.5703125" customWidth="1"/>
    <col min="10246" max="10246" width="14" customWidth="1"/>
    <col min="10247" max="10247" width="16.85546875" customWidth="1"/>
    <col min="10498" max="10498" width="32.5703125" customWidth="1"/>
    <col min="10499" max="10499" width="13.7109375" customWidth="1"/>
    <col min="10500" max="10500" width="13.28515625" customWidth="1"/>
    <col min="10501" max="10501" width="21.5703125" customWidth="1"/>
    <col min="10502" max="10502" width="14" customWidth="1"/>
    <col min="10503" max="10503" width="16.85546875" customWidth="1"/>
    <col min="10754" max="10754" width="32.5703125" customWidth="1"/>
    <col min="10755" max="10755" width="13.7109375" customWidth="1"/>
    <col min="10756" max="10756" width="13.28515625" customWidth="1"/>
    <col min="10757" max="10757" width="21.5703125" customWidth="1"/>
    <col min="10758" max="10758" width="14" customWidth="1"/>
    <col min="10759" max="10759" width="16.85546875" customWidth="1"/>
    <col min="11010" max="11010" width="32.5703125" customWidth="1"/>
    <col min="11011" max="11011" width="13.7109375" customWidth="1"/>
    <col min="11012" max="11012" width="13.28515625" customWidth="1"/>
    <col min="11013" max="11013" width="21.5703125" customWidth="1"/>
    <col min="11014" max="11014" width="14" customWidth="1"/>
    <col min="11015" max="11015" width="16.85546875" customWidth="1"/>
    <col min="11266" max="11266" width="32.5703125" customWidth="1"/>
    <col min="11267" max="11267" width="13.7109375" customWidth="1"/>
    <col min="11268" max="11268" width="13.28515625" customWidth="1"/>
    <col min="11269" max="11269" width="21.5703125" customWidth="1"/>
    <col min="11270" max="11270" width="14" customWidth="1"/>
    <col min="11271" max="11271" width="16.85546875" customWidth="1"/>
    <col min="11522" max="11522" width="32.5703125" customWidth="1"/>
    <col min="11523" max="11523" width="13.7109375" customWidth="1"/>
    <col min="11524" max="11524" width="13.28515625" customWidth="1"/>
    <col min="11525" max="11525" width="21.5703125" customWidth="1"/>
    <col min="11526" max="11526" width="14" customWidth="1"/>
    <col min="11527" max="11527" width="16.85546875" customWidth="1"/>
    <col min="11778" max="11778" width="32.5703125" customWidth="1"/>
    <col min="11779" max="11779" width="13.7109375" customWidth="1"/>
    <col min="11780" max="11780" width="13.28515625" customWidth="1"/>
    <col min="11781" max="11781" width="21.5703125" customWidth="1"/>
    <col min="11782" max="11782" width="14" customWidth="1"/>
    <col min="11783" max="11783" width="16.85546875" customWidth="1"/>
    <col min="12034" max="12034" width="32.5703125" customWidth="1"/>
    <col min="12035" max="12035" width="13.7109375" customWidth="1"/>
    <col min="12036" max="12036" width="13.28515625" customWidth="1"/>
    <col min="12037" max="12037" width="21.5703125" customWidth="1"/>
    <col min="12038" max="12038" width="14" customWidth="1"/>
    <col min="12039" max="12039" width="16.85546875" customWidth="1"/>
    <col min="12290" max="12290" width="32.5703125" customWidth="1"/>
    <col min="12291" max="12291" width="13.7109375" customWidth="1"/>
    <col min="12292" max="12292" width="13.28515625" customWidth="1"/>
    <col min="12293" max="12293" width="21.5703125" customWidth="1"/>
    <col min="12294" max="12294" width="14" customWidth="1"/>
    <col min="12295" max="12295" width="16.85546875" customWidth="1"/>
    <col min="12546" max="12546" width="32.5703125" customWidth="1"/>
    <col min="12547" max="12547" width="13.7109375" customWidth="1"/>
    <col min="12548" max="12548" width="13.28515625" customWidth="1"/>
    <col min="12549" max="12549" width="21.5703125" customWidth="1"/>
    <col min="12550" max="12550" width="14" customWidth="1"/>
    <col min="12551" max="12551" width="16.85546875" customWidth="1"/>
    <col min="12802" max="12802" width="32.5703125" customWidth="1"/>
    <col min="12803" max="12803" width="13.7109375" customWidth="1"/>
    <col min="12804" max="12804" width="13.28515625" customWidth="1"/>
    <col min="12805" max="12805" width="21.5703125" customWidth="1"/>
    <col min="12806" max="12806" width="14" customWidth="1"/>
    <col min="12807" max="12807" width="16.85546875" customWidth="1"/>
    <col min="13058" max="13058" width="32.5703125" customWidth="1"/>
    <col min="13059" max="13059" width="13.7109375" customWidth="1"/>
    <col min="13060" max="13060" width="13.28515625" customWidth="1"/>
    <col min="13061" max="13061" width="21.5703125" customWidth="1"/>
    <col min="13062" max="13062" width="14" customWidth="1"/>
    <col min="13063" max="13063" width="16.85546875" customWidth="1"/>
    <col min="13314" max="13314" width="32.5703125" customWidth="1"/>
    <col min="13315" max="13315" width="13.7109375" customWidth="1"/>
    <col min="13316" max="13316" width="13.28515625" customWidth="1"/>
    <col min="13317" max="13317" width="21.5703125" customWidth="1"/>
    <col min="13318" max="13318" width="14" customWidth="1"/>
    <col min="13319" max="13319" width="16.85546875" customWidth="1"/>
    <col min="13570" max="13570" width="32.5703125" customWidth="1"/>
    <col min="13571" max="13571" width="13.7109375" customWidth="1"/>
    <col min="13572" max="13572" width="13.28515625" customWidth="1"/>
    <col min="13573" max="13573" width="21.5703125" customWidth="1"/>
    <col min="13574" max="13574" width="14" customWidth="1"/>
    <col min="13575" max="13575" width="16.85546875" customWidth="1"/>
    <col min="13826" max="13826" width="32.5703125" customWidth="1"/>
    <col min="13827" max="13827" width="13.7109375" customWidth="1"/>
    <col min="13828" max="13828" width="13.28515625" customWidth="1"/>
    <col min="13829" max="13829" width="21.5703125" customWidth="1"/>
    <col min="13830" max="13830" width="14" customWidth="1"/>
    <col min="13831" max="13831" width="16.85546875" customWidth="1"/>
    <col min="14082" max="14082" width="32.5703125" customWidth="1"/>
    <col min="14083" max="14083" width="13.7109375" customWidth="1"/>
    <col min="14084" max="14084" width="13.28515625" customWidth="1"/>
    <col min="14085" max="14085" width="21.5703125" customWidth="1"/>
    <col min="14086" max="14086" width="14" customWidth="1"/>
    <col min="14087" max="14087" width="16.85546875" customWidth="1"/>
    <col min="14338" max="14338" width="32.5703125" customWidth="1"/>
    <col min="14339" max="14339" width="13.7109375" customWidth="1"/>
    <col min="14340" max="14340" width="13.28515625" customWidth="1"/>
    <col min="14341" max="14341" width="21.5703125" customWidth="1"/>
    <col min="14342" max="14342" width="14" customWidth="1"/>
    <col min="14343" max="14343" width="16.85546875" customWidth="1"/>
    <col min="14594" max="14594" width="32.5703125" customWidth="1"/>
    <col min="14595" max="14595" width="13.7109375" customWidth="1"/>
    <col min="14596" max="14596" width="13.28515625" customWidth="1"/>
    <col min="14597" max="14597" width="21.5703125" customWidth="1"/>
    <col min="14598" max="14598" width="14" customWidth="1"/>
    <col min="14599" max="14599" width="16.85546875" customWidth="1"/>
    <col min="14850" max="14850" width="32.5703125" customWidth="1"/>
    <col min="14851" max="14851" width="13.7109375" customWidth="1"/>
    <col min="14852" max="14852" width="13.28515625" customWidth="1"/>
    <col min="14853" max="14853" width="21.5703125" customWidth="1"/>
    <col min="14854" max="14854" width="14" customWidth="1"/>
    <col min="14855" max="14855" width="16.85546875" customWidth="1"/>
    <col min="15106" max="15106" width="32.5703125" customWidth="1"/>
    <col min="15107" max="15107" width="13.7109375" customWidth="1"/>
    <col min="15108" max="15108" width="13.28515625" customWidth="1"/>
    <col min="15109" max="15109" width="21.5703125" customWidth="1"/>
    <col min="15110" max="15110" width="14" customWidth="1"/>
    <col min="15111" max="15111" width="16.85546875" customWidth="1"/>
    <col min="15362" max="15362" width="32.5703125" customWidth="1"/>
    <col min="15363" max="15363" width="13.7109375" customWidth="1"/>
    <col min="15364" max="15364" width="13.28515625" customWidth="1"/>
    <col min="15365" max="15365" width="21.5703125" customWidth="1"/>
    <col min="15366" max="15366" width="14" customWidth="1"/>
    <col min="15367" max="15367" width="16.85546875" customWidth="1"/>
    <col min="15618" max="15618" width="32.5703125" customWidth="1"/>
    <col min="15619" max="15619" width="13.7109375" customWidth="1"/>
    <col min="15620" max="15620" width="13.28515625" customWidth="1"/>
    <col min="15621" max="15621" width="21.5703125" customWidth="1"/>
    <col min="15622" max="15622" width="14" customWidth="1"/>
    <col min="15623" max="15623" width="16.85546875" customWidth="1"/>
    <col min="15874" max="15874" width="32.5703125" customWidth="1"/>
    <col min="15875" max="15875" width="13.7109375" customWidth="1"/>
    <col min="15876" max="15876" width="13.28515625" customWidth="1"/>
    <col min="15877" max="15877" width="21.5703125" customWidth="1"/>
    <col min="15878" max="15878" width="14" customWidth="1"/>
    <col min="15879" max="15879" width="16.85546875" customWidth="1"/>
    <col min="16130" max="16130" width="32.5703125" customWidth="1"/>
    <col min="16131" max="16131" width="13.7109375" customWidth="1"/>
    <col min="16132" max="16132" width="13.28515625" customWidth="1"/>
    <col min="16133" max="16133" width="21.5703125" customWidth="1"/>
    <col min="16134" max="16134" width="14" customWidth="1"/>
    <col min="16135" max="16135" width="16.85546875" customWidth="1"/>
  </cols>
  <sheetData>
    <row r="1" spans="2:9" ht="15.75">
      <c r="B1" s="60" t="s">
        <v>74</v>
      </c>
      <c r="C1" s="208" t="s">
        <v>76</v>
      </c>
      <c r="D1" s="208"/>
    </row>
    <row r="2" spans="2:9">
      <c r="B2" t="s">
        <v>83</v>
      </c>
    </row>
    <row r="3" spans="2:9" ht="13.5" thickBot="1"/>
    <row r="4" spans="2:9">
      <c r="B4" s="204" t="s">
        <v>4</v>
      </c>
      <c r="C4" s="158" t="s">
        <v>84</v>
      </c>
      <c r="D4" s="159"/>
      <c r="E4" s="206" t="s">
        <v>85</v>
      </c>
      <c r="F4" s="207"/>
      <c r="G4" s="158" t="s">
        <v>86</v>
      </c>
      <c r="H4" s="160" t="s">
        <v>87</v>
      </c>
      <c r="I4">
        <v>2</v>
      </c>
    </row>
    <row r="5" spans="2:9">
      <c r="B5" s="205"/>
      <c r="C5" s="161" t="s">
        <v>1</v>
      </c>
      <c r="D5" s="162" t="s">
        <v>0</v>
      </c>
      <c r="E5" s="163" t="s">
        <v>78</v>
      </c>
      <c r="F5" s="163" t="s">
        <v>79</v>
      </c>
      <c r="G5" s="161" t="s">
        <v>88</v>
      </c>
      <c r="H5" s="163" t="s">
        <v>89</v>
      </c>
      <c r="I5">
        <v>8</v>
      </c>
    </row>
    <row r="6" spans="2:9">
      <c r="B6" s="164" t="s">
        <v>91</v>
      </c>
      <c r="C6" s="165">
        <v>0.13949547029043421</v>
      </c>
      <c r="D6" s="166">
        <v>0.48996749267252854</v>
      </c>
      <c r="E6" s="167">
        <v>90.233898694831737</v>
      </c>
      <c r="F6" s="167">
        <v>84.528107271789594</v>
      </c>
      <c r="G6" s="168">
        <v>0.55000000000000004</v>
      </c>
      <c r="H6" s="255">
        <v>43.465947863931071</v>
      </c>
      <c r="I6">
        <v>24</v>
      </c>
    </row>
    <row r="7" spans="2:9">
      <c r="B7" s="169" t="s">
        <v>92</v>
      </c>
      <c r="C7" s="170"/>
      <c r="D7" s="171"/>
      <c r="E7" s="167"/>
      <c r="F7" s="167"/>
      <c r="G7" s="172"/>
      <c r="H7" s="173"/>
      <c r="I7">
        <v>48</v>
      </c>
    </row>
    <row r="8" spans="2:9" ht="13.5" thickBot="1">
      <c r="B8" s="174" t="s">
        <v>93</v>
      </c>
      <c r="C8" s="175"/>
      <c r="D8" s="176"/>
      <c r="E8" s="177"/>
      <c r="F8" s="177"/>
      <c r="G8" s="178"/>
      <c r="H8" s="179"/>
    </row>
  </sheetData>
  <mergeCells count="3">
    <mergeCell ref="B4:B5"/>
    <mergeCell ref="E4:F4"/>
    <mergeCell ref="C1:D1"/>
  </mergeCells>
  <conditionalFormatting sqref="C1:D1">
    <cfRule type="cellIs" dxfId="19" priority="1" stopIfTrue="1" operator="equal">
      <formula>""</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B2:F14"/>
  <sheetViews>
    <sheetView workbookViewId="0">
      <selection activeCell="B5" sqref="B5:F8"/>
    </sheetView>
  </sheetViews>
  <sheetFormatPr defaultRowHeight="12.75"/>
  <cols>
    <col min="1" max="1" width="4.7109375" style="180" customWidth="1"/>
    <col min="2" max="2" width="14.7109375" style="180" customWidth="1"/>
    <col min="3" max="3" width="11.5703125" style="180" customWidth="1"/>
    <col min="4" max="4" width="10.42578125" style="180" customWidth="1"/>
    <col min="5" max="5" width="11.140625" style="180" customWidth="1"/>
    <col min="6" max="6" width="22.28515625" style="180" customWidth="1"/>
    <col min="7" max="256" width="9.140625" style="180"/>
    <col min="257" max="257" width="2" style="180" customWidth="1"/>
    <col min="258" max="258" width="22.42578125" style="180" customWidth="1"/>
    <col min="259" max="259" width="11.7109375" style="180" customWidth="1"/>
    <col min="260" max="260" width="10.42578125" style="180" customWidth="1"/>
    <col min="261" max="261" width="11.140625" style="180" customWidth="1"/>
    <col min="262" max="262" width="22.28515625" style="180" customWidth="1"/>
    <col min="263" max="512" width="9.140625" style="180"/>
    <col min="513" max="513" width="2" style="180" customWidth="1"/>
    <col min="514" max="514" width="22.42578125" style="180" customWidth="1"/>
    <col min="515" max="515" width="11.7109375" style="180" customWidth="1"/>
    <col min="516" max="516" width="10.42578125" style="180" customWidth="1"/>
    <col min="517" max="517" width="11.140625" style="180" customWidth="1"/>
    <col min="518" max="518" width="22.28515625" style="180" customWidth="1"/>
    <col min="519" max="768" width="9.140625" style="180"/>
    <col min="769" max="769" width="2" style="180" customWidth="1"/>
    <col min="770" max="770" width="22.42578125" style="180" customWidth="1"/>
    <col min="771" max="771" width="11.7109375" style="180" customWidth="1"/>
    <col min="772" max="772" width="10.42578125" style="180" customWidth="1"/>
    <col min="773" max="773" width="11.140625" style="180" customWidth="1"/>
    <col min="774" max="774" width="22.28515625" style="180" customWidth="1"/>
    <col min="775" max="1024" width="9.140625" style="180"/>
    <col min="1025" max="1025" width="2" style="180" customWidth="1"/>
    <col min="1026" max="1026" width="22.42578125" style="180" customWidth="1"/>
    <col min="1027" max="1027" width="11.7109375" style="180" customWidth="1"/>
    <col min="1028" max="1028" width="10.42578125" style="180" customWidth="1"/>
    <col min="1029" max="1029" width="11.140625" style="180" customWidth="1"/>
    <col min="1030" max="1030" width="22.28515625" style="180" customWidth="1"/>
    <col min="1031" max="1280" width="9.140625" style="180"/>
    <col min="1281" max="1281" width="2" style="180" customWidth="1"/>
    <col min="1282" max="1282" width="22.42578125" style="180" customWidth="1"/>
    <col min="1283" max="1283" width="11.7109375" style="180" customWidth="1"/>
    <col min="1284" max="1284" width="10.42578125" style="180" customWidth="1"/>
    <col min="1285" max="1285" width="11.140625" style="180" customWidth="1"/>
    <col min="1286" max="1286" width="22.28515625" style="180" customWidth="1"/>
    <col min="1287" max="1536" width="9.140625" style="180"/>
    <col min="1537" max="1537" width="2" style="180" customWidth="1"/>
    <col min="1538" max="1538" width="22.42578125" style="180" customWidth="1"/>
    <col min="1539" max="1539" width="11.7109375" style="180" customWidth="1"/>
    <col min="1540" max="1540" width="10.42578125" style="180" customWidth="1"/>
    <col min="1541" max="1541" width="11.140625" style="180" customWidth="1"/>
    <col min="1542" max="1542" width="22.28515625" style="180" customWidth="1"/>
    <col min="1543" max="1792" width="9.140625" style="180"/>
    <col min="1793" max="1793" width="2" style="180" customWidth="1"/>
    <col min="1794" max="1794" width="22.42578125" style="180" customWidth="1"/>
    <col min="1795" max="1795" width="11.7109375" style="180" customWidth="1"/>
    <col min="1796" max="1796" width="10.42578125" style="180" customWidth="1"/>
    <col min="1797" max="1797" width="11.140625" style="180" customWidth="1"/>
    <col min="1798" max="1798" width="22.28515625" style="180" customWidth="1"/>
    <col min="1799" max="2048" width="9.140625" style="180"/>
    <col min="2049" max="2049" width="2" style="180" customWidth="1"/>
    <col min="2050" max="2050" width="22.42578125" style="180" customWidth="1"/>
    <col min="2051" max="2051" width="11.7109375" style="180" customWidth="1"/>
    <col min="2052" max="2052" width="10.42578125" style="180" customWidth="1"/>
    <col min="2053" max="2053" width="11.140625" style="180" customWidth="1"/>
    <col min="2054" max="2054" width="22.28515625" style="180" customWidth="1"/>
    <col min="2055" max="2304" width="9.140625" style="180"/>
    <col min="2305" max="2305" width="2" style="180" customWidth="1"/>
    <col min="2306" max="2306" width="22.42578125" style="180" customWidth="1"/>
    <col min="2307" max="2307" width="11.7109375" style="180" customWidth="1"/>
    <col min="2308" max="2308" width="10.42578125" style="180" customWidth="1"/>
    <col min="2309" max="2309" width="11.140625" style="180" customWidth="1"/>
    <col min="2310" max="2310" width="22.28515625" style="180" customWidth="1"/>
    <col min="2311" max="2560" width="9.140625" style="180"/>
    <col min="2561" max="2561" width="2" style="180" customWidth="1"/>
    <col min="2562" max="2562" width="22.42578125" style="180" customWidth="1"/>
    <col min="2563" max="2563" width="11.7109375" style="180" customWidth="1"/>
    <col min="2564" max="2564" width="10.42578125" style="180" customWidth="1"/>
    <col min="2565" max="2565" width="11.140625" style="180" customWidth="1"/>
    <col min="2566" max="2566" width="22.28515625" style="180" customWidth="1"/>
    <col min="2567" max="2816" width="9.140625" style="180"/>
    <col min="2817" max="2817" width="2" style="180" customWidth="1"/>
    <col min="2818" max="2818" width="22.42578125" style="180" customWidth="1"/>
    <col min="2819" max="2819" width="11.7109375" style="180" customWidth="1"/>
    <col min="2820" max="2820" width="10.42578125" style="180" customWidth="1"/>
    <col min="2821" max="2821" width="11.140625" style="180" customWidth="1"/>
    <col min="2822" max="2822" width="22.28515625" style="180" customWidth="1"/>
    <col min="2823" max="3072" width="9.140625" style="180"/>
    <col min="3073" max="3073" width="2" style="180" customWidth="1"/>
    <col min="3074" max="3074" width="22.42578125" style="180" customWidth="1"/>
    <col min="3075" max="3075" width="11.7109375" style="180" customWidth="1"/>
    <col min="3076" max="3076" width="10.42578125" style="180" customWidth="1"/>
    <col min="3077" max="3077" width="11.140625" style="180" customWidth="1"/>
    <col min="3078" max="3078" width="22.28515625" style="180" customWidth="1"/>
    <col min="3079" max="3328" width="9.140625" style="180"/>
    <col min="3329" max="3329" width="2" style="180" customWidth="1"/>
    <col min="3330" max="3330" width="22.42578125" style="180" customWidth="1"/>
    <col min="3331" max="3331" width="11.7109375" style="180" customWidth="1"/>
    <col min="3332" max="3332" width="10.42578125" style="180" customWidth="1"/>
    <col min="3333" max="3333" width="11.140625" style="180" customWidth="1"/>
    <col min="3334" max="3334" width="22.28515625" style="180" customWidth="1"/>
    <col min="3335" max="3584" width="9.140625" style="180"/>
    <col min="3585" max="3585" width="2" style="180" customWidth="1"/>
    <col min="3586" max="3586" width="22.42578125" style="180" customWidth="1"/>
    <col min="3587" max="3587" width="11.7109375" style="180" customWidth="1"/>
    <col min="3588" max="3588" width="10.42578125" style="180" customWidth="1"/>
    <col min="3589" max="3589" width="11.140625" style="180" customWidth="1"/>
    <col min="3590" max="3590" width="22.28515625" style="180" customWidth="1"/>
    <col min="3591" max="3840" width="9.140625" style="180"/>
    <col min="3841" max="3841" width="2" style="180" customWidth="1"/>
    <col min="3842" max="3842" width="22.42578125" style="180" customWidth="1"/>
    <col min="3843" max="3843" width="11.7109375" style="180" customWidth="1"/>
    <col min="3844" max="3844" width="10.42578125" style="180" customWidth="1"/>
    <col min="3845" max="3845" width="11.140625" style="180" customWidth="1"/>
    <col min="3846" max="3846" width="22.28515625" style="180" customWidth="1"/>
    <col min="3847" max="4096" width="9.140625" style="180"/>
    <col min="4097" max="4097" width="2" style="180" customWidth="1"/>
    <col min="4098" max="4098" width="22.42578125" style="180" customWidth="1"/>
    <col min="4099" max="4099" width="11.7109375" style="180" customWidth="1"/>
    <col min="4100" max="4100" width="10.42578125" style="180" customWidth="1"/>
    <col min="4101" max="4101" width="11.140625" style="180" customWidth="1"/>
    <col min="4102" max="4102" width="22.28515625" style="180" customWidth="1"/>
    <col min="4103" max="4352" width="9.140625" style="180"/>
    <col min="4353" max="4353" width="2" style="180" customWidth="1"/>
    <col min="4354" max="4354" width="22.42578125" style="180" customWidth="1"/>
    <col min="4355" max="4355" width="11.7109375" style="180" customWidth="1"/>
    <col min="4356" max="4356" width="10.42578125" style="180" customWidth="1"/>
    <col min="4357" max="4357" width="11.140625" style="180" customWidth="1"/>
    <col min="4358" max="4358" width="22.28515625" style="180" customWidth="1"/>
    <col min="4359" max="4608" width="9.140625" style="180"/>
    <col min="4609" max="4609" width="2" style="180" customWidth="1"/>
    <col min="4610" max="4610" width="22.42578125" style="180" customWidth="1"/>
    <col min="4611" max="4611" width="11.7109375" style="180" customWidth="1"/>
    <col min="4612" max="4612" width="10.42578125" style="180" customWidth="1"/>
    <col min="4613" max="4613" width="11.140625" style="180" customWidth="1"/>
    <col min="4614" max="4614" width="22.28515625" style="180" customWidth="1"/>
    <col min="4615" max="4864" width="9.140625" style="180"/>
    <col min="4865" max="4865" width="2" style="180" customWidth="1"/>
    <col min="4866" max="4866" width="22.42578125" style="180" customWidth="1"/>
    <col min="4867" max="4867" width="11.7109375" style="180" customWidth="1"/>
    <col min="4868" max="4868" width="10.42578125" style="180" customWidth="1"/>
    <col min="4869" max="4869" width="11.140625" style="180" customWidth="1"/>
    <col min="4870" max="4870" width="22.28515625" style="180" customWidth="1"/>
    <col min="4871" max="5120" width="9.140625" style="180"/>
    <col min="5121" max="5121" width="2" style="180" customWidth="1"/>
    <col min="5122" max="5122" width="22.42578125" style="180" customWidth="1"/>
    <col min="5123" max="5123" width="11.7109375" style="180" customWidth="1"/>
    <col min="5124" max="5124" width="10.42578125" style="180" customWidth="1"/>
    <col min="5125" max="5125" width="11.140625" style="180" customWidth="1"/>
    <col min="5126" max="5126" width="22.28515625" style="180" customWidth="1"/>
    <col min="5127" max="5376" width="9.140625" style="180"/>
    <col min="5377" max="5377" width="2" style="180" customWidth="1"/>
    <col min="5378" max="5378" width="22.42578125" style="180" customWidth="1"/>
    <col min="5379" max="5379" width="11.7109375" style="180" customWidth="1"/>
    <col min="5380" max="5380" width="10.42578125" style="180" customWidth="1"/>
    <col min="5381" max="5381" width="11.140625" style="180" customWidth="1"/>
    <col min="5382" max="5382" width="22.28515625" style="180" customWidth="1"/>
    <col min="5383" max="5632" width="9.140625" style="180"/>
    <col min="5633" max="5633" width="2" style="180" customWidth="1"/>
    <col min="5634" max="5634" width="22.42578125" style="180" customWidth="1"/>
    <col min="5635" max="5635" width="11.7109375" style="180" customWidth="1"/>
    <col min="5636" max="5636" width="10.42578125" style="180" customWidth="1"/>
    <col min="5637" max="5637" width="11.140625" style="180" customWidth="1"/>
    <col min="5638" max="5638" width="22.28515625" style="180" customWidth="1"/>
    <col min="5639" max="5888" width="9.140625" style="180"/>
    <col min="5889" max="5889" width="2" style="180" customWidth="1"/>
    <col min="5890" max="5890" width="22.42578125" style="180" customWidth="1"/>
    <col min="5891" max="5891" width="11.7109375" style="180" customWidth="1"/>
    <col min="5892" max="5892" width="10.42578125" style="180" customWidth="1"/>
    <col min="5893" max="5893" width="11.140625" style="180" customWidth="1"/>
    <col min="5894" max="5894" width="22.28515625" style="180" customWidth="1"/>
    <col min="5895" max="6144" width="9.140625" style="180"/>
    <col min="6145" max="6145" width="2" style="180" customWidth="1"/>
    <col min="6146" max="6146" width="22.42578125" style="180" customWidth="1"/>
    <col min="6147" max="6147" width="11.7109375" style="180" customWidth="1"/>
    <col min="6148" max="6148" width="10.42578125" style="180" customWidth="1"/>
    <col min="6149" max="6149" width="11.140625" style="180" customWidth="1"/>
    <col min="6150" max="6150" width="22.28515625" style="180" customWidth="1"/>
    <col min="6151" max="6400" width="9.140625" style="180"/>
    <col min="6401" max="6401" width="2" style="180" customWidth="1"/>
    <col min="6402" max="6402" width="22.42578125" style="180" customWidth="1"/>
    <col min="6403" max="6403" width="11.7109375" style="180" customWidth="1"/>
    <col min="6404" max="6404" width="10.42578125" style="180" customWidth="1"/>
    <col min="6405" max="6405" width="11.140625" style="180" customWidth="1"/>
    <col min="6406" max="6406" width="22.28515625" style="180" customWidth="1"/>
    <col min="6407" max="6656" width="9.140625" style="180"/>
    <col min="6657" max="6657" width="2" style="180" customWidth="1"/>
    <col min="6658" max="6658" width="22.42578125" style="180" customWidth="1"/>
    <col min="6659" max="6659" width="11.7109375" style="180" customWidth="1"/>
    <col min="6660" max="6660" width="10.42578125" style="180" customWidth="1"/>
    <col min="6661" max="6661" width="11.140625" style="180" customWidth="1"/>
    <col min="6662" max="6662" width="22.28515625" style="180" customWidth="1"/>
    <col min="6663" max="6912" width="9.140625" style="180"/>
    <col min="6913" max="6913" width="2" style="180" customWidth="1"/>
    <col min="6914" max="6914" width="22.42578125" style="180" customWidth="1"/>
    <col min="6915" max="6915" width="11.7109375" style="180" customWidth="1"/>
    <col min="6916" max="6916" width="10.42578125" style="180" customWidth="1"/>
    <col min="6917" max="6917" width="11.140625" style="180" customWidth="1"/>
    <col min="6918" max="6918" width="22.28515625" style="180" customWidth="1"/>
    <col min="6919" max="7168" width="9.140625" style="180"/>
    <col min="7169" max="7169" width="2" style="180" customWidth="1"/>
    <col min="7170" max="7170" width="22.42578125" style="180" customWidth="1"/>
    <col min="7171" max="7171" width="11.7109375" style="180" customWidth="1"/>
    <col min="7172" max="7172" width="10.42578125" style="180" customWidth="1"/>
    <col min="7173" max="7173" width="11.140625" style="180" customWidth="1"/>
    <col min="7174" max="7174" width="22.28515625" style="180" customWidth="1"/>
    <col min="7175" max="7424" width="9.140625" style="180"/>
    <col min="7425" max="7425" width="2" style="180" customWidth="1"/>
    <col min="7426" max="7426" width="22.42578125" style="180" customWidth="1"/>
    <col min="7427" max="7427" width="11.7109375" style="180" customWidth="1"/>
    <col min="7428" max="7428" width="10.42578125" style="180" customWidth="1"/>
    <col min="7429" max="7429" width="11.140625" style="180" customWidth="1"/>
    <col min="7430" max="7430" width="22.28515625" style="180" customWidth="1"/>
    <col min="7431" max="7680" width="9.140625" style="180"/>
    <col min="7681" max="7681" width="2" style="180" customWidth="1"/>
    <col min="7682" max="7682" width="22.42578125" style="180" customWidth="1"/>
    <col min="7683" max="7683" width="11.7109375" style="180" customWidth="1"/>
    <col min="7684" max="7684" width="10.42578125" style="180" customWidth="1"/>
    <col min="7685" max="7685" width="11.140625" style="180" customWidth="1"/>
    <col min="7686" max="7686" width="22.28515625" style="180" customWidth="1"/>
    <col min="7687" max="7936" width="9.140625" style="180"/>
    <col min="7937" max="7937" width="2" style="180" customWidth="1"/>
    <col min="7938" max="7938" width="22.42578125" style="180" customWidth="1"/>
    <col min="7939" max="7939" width="11.7109375" style="180" customWidth="1"/>
    <col min="7940" max="7940" width="10.42578125" style="180" customWidth="1"/>
    <col min="7941" max="7941" width="11.140625" style="180" customWidth="1"/>
    <col min="7942" max="7942" width="22.28515625" style="180" customWidth="1"/>
    <col min="7943" max="8192" width="9.140625" style="180"/>
    <col min="8193" max="8193" width="2" style="180" customWidth="1"/>
    <col min="8194" max="8194" width="22.42578125" style="180" customWidth="1"/>
    <col min="8195" max="8195" width="11.7109375" style="180" customWidth="1"/>
    <col min="8196" max="8196" width="10.42578125" style="180" customWidth="1"/>
    <col min="8197" max="8197" width="11.140625" style="180" customWidth="1"/>
    <col min="8198" max="8198" width="22.28515625" style="180" customWidth="1"/>
    <col min="8199" max="8448" width="9.140625" style="180"/>
    <col min="8449" max="8449" width="2" style="180" customWidth="1"/>
    <col min="8450" max="8450" width="22.42578125" style="180" customWidth="1"/>
    <col min="8451" max="8451" width="11.7109375" style="180" customWidth="1"/>
    <col min="8452" max="8452" width="10.42578125" style="180" customWidth="1"/>
    <col min="8453" max="8453" width="11.140625" style="180" customWidth="1"/>
    <col min="8454" max="8454" width="22.28515625" style="180" customWidth="1"/>
    <col min="8455" max="8704" width="9.140625" style="180"/>
    <col min="8705" max="8705" width="2" style="180" customWidth="1"/>
    <col min="8706" max="8706" width="22.42578125" style="180" customWidth="1"/>
    <col min="8707" max="8707" width="11.7109375" style="180" customWidth="1"/>
    <col min="8708" max="8708" width="10.42578125" style="180" customWidth="1"/>
    <col min="8709" max="8709" width="11.140625" style="180" customWidth="1"/>
    <col min="8710" max="8710" width="22.28515625" style="180" customWidth="1"/>
    <col min="8711" max="8960" width="9.140625" style="180"/>
    <col min="8961" max="8961" width="2" style="180" customWidth="1"/>
    <col min="8962" max="8962" width="22.42578125" style="180" customWidth="1"/>
    <col min="8963" max="8963" width="11.7109375" style="180" customWidth="1"/>
    <col min="8964" max="8964" width="10.42578125" style="180" customWidth="1"/>
    <col min="8965" max="8965" width="11.140625" style="180" customWidth="1"/>
    <col min="8966" max="8966" width="22.28515625" style="180" customWidth="1"/>
    <col min="8967" max="9216" width="9.140625" style="180"/>
    <col min="9217" max="9217" width="2" style="180" customWidth="1"/>
    <col min="9218" max="9218" width="22.42578125" style="180" customWidth="1"/>
    <col min="9219" max="9219" width="11.7109375" style="180" customWidth="1"/>
    <col min="9220" max="9220" width="10.42578125" style="180" customWidth="1"/>
    <col min="9221" max="9221" width="11.140625" style="180" customWidth="1"/>
    <col min="9222" max="9222" width="22.28515625" style="180" customWidth="1"/>
    <col min="9223" max="9472" width="9.140625" style="180"/>
    <col min="9473" max="9473" width="2" style="180" customWidth="1"/>
    <col min="9474" max="9474" width="22.42578125" style="180" customWidth="1"/>
    <col min="9475" max="9475" width="11.7109375" style="180" customWidth="1"/>
    <col min="9476" max="9476" width="10.42578125" style="180" customWidth="1"/>
    <col min="9477" max="9477" width="11.140625" style="180" customWidth="1"/>
    <col min="9478" max="9478" width="22.28515625" style="180" customWidth="1"/>
    <col min="9479" max="9728" width="9.140625" style="180"/>
    <col min="9729" max="9729" width="2" style="180" customWidth="1"/>
    <col min="9730" max="9730" width="22.42578125" style="180" customWidth="1"/>
    <col min="9731" max="9731" width="11.7109375" style="180" customWidth="1"/>
    <col min="9732" max="9732" width="10.42578125" style="180" customWidth="1"/>
    <col min="9733" max="9733" width="11.140625" style="180" customWidth="1"/>
    <col min="9734" max="9734" width="22.28515625" style="180" customWidth="1"/>
    <col min="9735" max="9984" width="9.140625" style="180"/>
    <col min="9985" max="9985" width="2" style="180" customWidth="1"/>
    <col min="9986" max="9986" width="22.42578125" style="180" customWidth="1"/>
    <col min="9987" max="9987" width="11.7109375" style="180" customWidth="1"/>
    <col min="9988" max="9988" width="10.42578125" style="180" customWidth="1"/>
    <col min="9989" max="9989" width="11.140625" style="180" customWidth="1"/>
    <col min="9990" max="9990" width="22.28515625" style="180" customWidth="1"/>
    <col min="9991" max="10240" width="9.140625" style="180"/>
    <col min="10241" max="10241" width="2" style="180" customWidth="1"/>
    <col min="10242" max="10242" width="22.42578125" style="180" customWidth="1"/>
    <col min="10243" max="10243" width="11.7109375" style="180" customWidth="1"/>
    <col min="10244" max="10244" width="10.42578125" style="180" customWidth="1"/>
    <col min="10245" max="10245" width="11.140625" style="180" customWidth="1"/>
    <col min="10246" max="10246" width="22.28515625" style="180" customWidth="1"/>
    <col min="10247" max="10496" width="9.140625" style="180"/>
    <col min="10497" max="10497" width="2" style="180" customWidth="1"/>
    <col min="10498" max="10498" width="22.42578125" style="180" customWidth="1"/>
    <col min="10499" max="10499" width="11.7109375" style="180" customWidth="1"/>
    <col min="10500" max="10500" width="10.42578125" style="180" customWidth="1"/>
    <col min="10501" max="10501" width="11.140625" style="180" customWidth="1"/>
    <col min="10502" max="10502" width="22.28515625" style="180" customWidth="1"/>
    <col min="10503" max="10752" width="9.140625" style="180"/>
    <col min="10753" max="10753" width="2" style="180" customWidth="1"/>
    <col min="10754" max="10754" width="22.42578125" style="180" customWidth="1"/>
    <col min="10755" max="10755" width="11.7109375" style="180" customWidth="1"/>
    <col min="10756" max="10756" width="10.42578125" style="180" customWidth="1"/>
    <col min="10757" max="10757" width="11.140625" style="180" customWidth="1"/>
    <col min="10758" max="10758" width="22.28515625" style="180" customWidth="1"/>
    <col min="10759" max="11008" width="9.140625" style="180"/>
    <col min="11009" max="11009" width="2" style="180" customWidth="1"/>
    <col min="11010" max="11010" width="22.42578125" style="180" customWidth="1"/>
    <col min="11011" max="11011" width="11.7109375" style="180" customWidth="1"/>
    <col min="11012" max="11012" width="10.42578125" style="180" customWidth="1"/>
    <col min="11013" max="11013" width="11.140625" style="180" customWidth="1"/>
    <col min="11014" max="11014" width="22.28515625" style="180" customWidth="1"/>
    <col min="11015" max="11264" width="9.140625" style="180"/>
    <col min="11265" max="11265" width="2" style="180" customWidth="1"/>
    <col min="11266" max="11266" width="22.42578125" style="180" customWidth="1"/>
    <col min="11267" max="11267" width="11.7109375" style="180" customWidth="1"/>
    <col min="11268" max="11268" width="10.42578125" style="180" customWidth="1"/>
    <col min="11269" max="11269" width="11.140625" style="180" customWidth="1"/>
    <col min="11270" max="11270" width="22.28515625" style="180" customWidth="1"/>
    <col min="11271" max="11520" width="9.140625" style="180"/>
    <col min="11521" max="11521" width="2" style="180" customWidth="1"/>
    <col min="11522" max="11522" width="22.42578125" style="180" customWidth="1"/>
    <col min="11523" max="11523" width="11.7109375" style="180" customWidth="1"/>
    <col min="11524" max="11524" width="10.42578125" style="180" customWidth="1"/>
    <col min="11525" max="11525" width="11.140625" style="180" customWidth="1"/>
    <col min="11526" max="11526" width="22.28515625" style="180" customWidth="1"/>
    <col min="11527" max="11776" width="9.140625" style="180"/>
    <col min="11777" max="11777" width="2" style="180" customWidth="1"/>
    <col min="11778" max="11778" width="22.42578125" style="180" customWidth="1"/>
    <col min="11779" max="11779" width="11.7109375" style="180" customWidth="1"/>
    <col min="11780" max="11780" width="10.42578125" style="180" customWidth="1"/>
    <col min="11781" max="11781" width="11.140625" style="180" customWidth="1"/>
    <col min="11782" max="11782" width="22.28515625" style="180" customWidth="1"/>
    <col min="11783" max="12032" width="9.140625" style="180"/>
    <col min="12033" max="12033" width="2" style="180" customWidth="1"/>
    <col min="12034" max="12034" width="22.42578125" style="180" customWidth="1"/>
    <col min="12035" max="12035" width="11.7109375" style="180" customWidth="1"/>
    <col min="12036" max="12036" width="10.42578125" style="180" customWidth="1"/>
    <col min="12037" max="12037" width="11.140625" style="180" customWidth="1"/>
    <col min="12038" max="12038" width="22.28515625" style="180" customWidth="1"/>
    <col min="12039" max="12288" width="9.140625" style="180"/>
    <col min="12289" max="12289" width="2" style="180" customWidth="1"/>
    <col min="12290" max="12290" width="22.42578125" style="180" customWidth="1"/>
    <col min="12291" max="12291" width="11.7109375" style="180" customWidth="1"/>
    <col min="12292" max="12292" width="10.42578125" style="180" customWidth="1"/>
    <col min="12293" max="12293" width="11.140625" style="180" customWidth="1"/>
    <col min="12294" max="12294" width="22.28515625" style="180" customWidth="1"/>
    <col min="12295" max="12544" width="9.140625" style="180"/>
    <col min="12545" max="12545" width="2" style="180" customWidth="1"/>
    <col min="12546" max="12546" width="22.42578125" style="180" customWidth="1"/>
    <col min="12547" max="12547" width="11.7109375" style="180" customWidth="1"/>
    <col min="12548" max="12548" width="10.42578125" style="180" customWidth="1"/>
    <col min="12549" max="12549" width="11.140625" style="180" customWidth="1"/>
    <col min="12550" max="12550" width="22.28515625" style="180" customWidth="1"/>
    <col min="12551" max="12800" width="9.140625" style="180"/>
    <col min="12801" max="12801" width="2" style="180" customWidth="1"/>
    <col min="12802" max="12802" width="22.42578125" style="180" customWidth="1"/>
    <col min="12803" max="12803" width="11.7109375" style="180" customWidth="1"/>
    <col min="12804" max="12804" width="10.42578125" style="180" customWidth="1"/>
    <col min="12805" max="12805" width="11.140625" style="180" customWidth="1"/>
    <col min="12806" max="12806" width="22.28515625" style="180" customWidth="1"/>
    <col min="12807" max="13056" width="9.140625" style="180"/>
    <col min="13057" max="13057" width="2" style="180" customWidth="1"/>
    <col min="13058" max="13058" width="22.42578125" style="180" customWidth="1"/>
    <col min="13059" max="13059" width="11.7109375" style="180" customWidth="1"/>
    <col min="13060" max="13060" width="10.42578125" style="180" customWidth="1"/>
    <col min="13061" max="13061" width="11.140625" style="180" customWidth="1"/>
    <col min="13062" max="13062" width="22.28515625" style="180" customWidth="1"/>
    <col min="13063" max="13312" width="9.140625" style="180"/>
    <col min="13313" max="13313" width="2" style="180" customWidth="1"/>
    <col min="13314" max="13314" width="22.42578125" style="180" customWidth="1"/>
    <col min="13315" max="13315" width="11.7109375" style="180" customWidth="1"/>
    <col min="13316" max="13316" width="10.42578125" style="180" customWidth="1"/>
    <col min="13317" max="13317" width="11.140625" style="180" customWidth="1"/>
    <col min="13318" max="13318" width="22.28515625" style="180" customWidth="1"/>
    <col min="13319" max="13568" width="9.140625" style="180"/>
    <col min="13569" max="13569" width="2" style="180" customWidth="1"/>
    <col min="13570" max="13570" width="22.42578125" style="180" customWidth="1"/>
    <col min="13571" max="13571" width="11.7109375" style="180" customWidth="1"/>
    <col min="13572" max="13572" width="10.42578125" style="180" customWidth="1"/>
    <col min="13573" max="13573" width="11.140625" style="180" customWidth="1"/>
    <col min="13574" max="13574" width="22.28515625" style="180" customWidth="1"/>
    <col min="13575" max="13824" width="9.140625" style="180"/>
    <col min="13825" max="13825" width="2" style="180" customWidth="1"/>
    <col min="13826" max="13826" width="22.42578125" style="180" customWidth="1"/>
    <col min="13827" max="13827" width="11.7109375" style="180" customWidth="1"/>
    <col min="13828" max="13828" width="10.42578125" style="180" customWidth="1"/>
    <col min="13829" max="13829" width="11.140625" style="180" customWidth="1"/>
    <col min="13830" max="13830" width="22.28515625" style="180" customWidth="1"/>
    <col min="13831" max="14080" width="9.140625" style="180"/>
    <col min="14081" max="14081" width="2" style="180" customWidth="1"/>
    <col min="14082" max="14082" width="22.42578125" style="180" customWidth="1"/>
    <col min="14083" max="14083" width="11.7109375" style="180" customWidth="1"/>
    <col min="14084" max="14084" width="10.42578125" style="180" customWidth="1"/>
    <col min="14085" max="14085" width="11.140625" style="180" customWidth="1"/>
    <col min="14086" max="14086" width="22.28515625" style="180" customWidth="1"/>
    <col min="14087" max="14336" width="9.140625" style="180"/>
    <col min="14337" max="14337" width="2" style="180" customWidth="1"/>
    <col min="14338" max="14338" width="22.42578125" style="180" customWidth="1"/>
    <col min="14339" max="14339" width="11.7109375" style="180" customWidth="1"/>
    <col min="14340" max="14340" width="10.42578125" style="180" customWidth="1"/>
    <col min="14341" max="14341" width="11.140625" style="180" customWidth="1"/>
    <col min="14342" max="14342" width="22.28515625" style="180" customWidth="1"/>
    <col min="14343" max="14592" width="9.140625" style="180"/>
    <col min="14593" max="14593" width="2" style="180" customWidth="1"/>
    <col min="14594" max="14594" width="22.42578125" style="180" customWidth="1"/>
    <col min="14595" max="14595" width="11.7109375" style="180" customWidth="1"/>
    <col min="14596" max="14596" width="10.42578125" style="180" customWidth="1"/>
    <col min="14597" max="14597" width="11.140625" style="180" customWidth="1"/>
    <col min="14598" max="14598" width="22.28515625" style="180" customWidth="1"/>
    <col min="14599" max="14848" width="9.140625" style="180"/>
    <col min="14849" max="14849" width="2" style="180" customWidth="1"/>
    <col min="14850" max="14850" width="22.42578125" style="180" customWidth="1"/>
    <col min="14851" max="14851" width="11.7109375" style="180" customWidth="1"/>
    <col min="14852" max="14852" width="10.42578125" style="180" customWidth="1"/>
    <col min="14853" max="14853" width="11.140625" style="180" customWidth="1"/>
    <col min="14854" max="14854" width="22.28515625" style="180" customWidth="1"/>
    <col min="14855" max="15104" width="9.140625" style="180"/>
    <col min="15105" max="15105" width="2" style="180" customWidth="1"/>
    <col min="15106" max="15106" width="22.42578125" style="180" customWidth="1"/>
    <col min="15107" max="15107" width="11.7109375" style="180" customWidth="1"/>
    <col min="15108" max="15108" width="10.42578125" style="180" customWidth="1"/>
    <col min="15109" max="15109" width="11.140625" style="180" customWidth="1"/>
    <col min="15110" max="15110" width="22.28515625" style="180" customWidth="1"/>
    <col min="15111" max="15360" width="9.140625" style="180"/>
    <col min="15361" max="15361" width="2" style="180" customWidth="1"/>
    <col min="15362" max="15362" width="22.42578125" style="180" customWidth="1"/>
    <col min="15363" max="15363" width="11.7109375" style="180" customWidth="1"/>
    <col min="15364" max="15364" width="10.42578125" style="180" customWidth="1"/>
    <col min="15365" max="15365" width="11.140625" style="180" customWidth="1"/>
    <col min="15366" max="15366" width="22.28515625" style="180" customWidth="1"/>
    <col min="15367" max="15616" width="9.140625" style="180"/>
    <col min="15617" max="15617" width="2" style="180" customWidth="1"/>
    <col min="15618" max="15618" width="22.42578125" style="180" customWidth="1"/>
    <col min="15619" max="15619" width="11.7109375" style="180" customWidth="1"/>
    <col min="15620" max="15620" width="10.42578125" style="180" customWidth="1"/>
    <col min="15621" max="15621" width="11.140625" style="180" customWidth="1"/>
    <col min="15622" max="15622" width="22.28515625" style="180" customWidth="1"/>
    <col min="15623" max="15872" width="9.140625" style="180"/>
    <col min="15873" max="15873" width="2" style="180" customWidth="1"/>
    <col min="15874" max="15874" width="22.42578125" style="180" customWidth="1"/>
    <col min="15875" max="15875" width="11.7109375" style="180" customWidth="1"/>
    <col min="15876" max="15876" width="10.42578125" style="180" customWidth="1"/>
    <col min="15877" max="15877" width="11.140625" style="180" customWidth="1"/>
    <col min="15878" max="15878" width="22.28515625" style="180" customWidth="1"/>
    <col min="15879" max="16128" width="9.140625" style="180"/>
    <col min="16129" max="16129" width="2" style="180" customWidth="1"/>
    <col min="16130" max="16130" width="22.42578125" style="180" customWidth="1"/>
    <col min="16131" max="16131" width="11.7109375" style="180" customWidth="1"/>
    <col min="16132" max="16132" width="10.42578125" style="180" customWidth="1"/>
    <col min="16133" max="16133" width="11.140625" style="180" customWidth="1"/>
    <col min="16134" max="16134" width="22.28515625" style="180" customWidth="1"/>
    <col min="16135" max="16384" width="9.140625" style="180"/>
  </cols>
  <sheetData>
    <row r="2" spans="2:6" ht="15.75">
      <c r="B2" s="60" t="s">
        <v>74</v>
      </c>
      <c r="C2" s="208" t="s">
        <v>76</v>
      </c>
      <c r="D2" s="208"/>
    </row>
    <row r="5" spans="2:6">
      <c r="B5" s="209" t="s">
        <v>97</v>
      </c>
      <c r="C5" s="209" t="s">
        <v>94</v>
      </c>
      <c r="D5" s="185" t="s">
        <v>90</v>
      </c>
      <c r="E5" s="185" t="s">
        <v>106</v>
      </c>
      <c r="F5" s="209" t="s">
        <v>107</v>
      </c>
    </row>
    <row r="6" spans="2:6">
      <c r="B6" s="210"/>
      <c r="C6" s="210"/>
      <c r="D6" s="187" t="s">
        <v>101</v>
      </c>
      <c r="E6" s="187" t="s">
        <v>77</v>
      </c>
      <c r="F6" s="210"/>
    </row>
    <row r="7" spans="2:6">
      <c r="B7" s="183" t="s">
        <v>98</v>
      </c>
      <c r="C7" s="181" t="s">
        <v>95</v>
      </c>
      <c r="D7" s="188">
        <v>78.900000000000006</v>
      </c>
      <c r="E7" s="188">
        <v>90.2</v>
      </c>
      <c r="F7" s="189">
        <f>D7+(100-D7)*E7/100</f>
        <v>97.932199999999995</v>
      </c>
    </row>
    <row r="8" spans="2:6">
      <c r="B8" s="184"/>
      <c r="C8" s="190" t="s">
        <v>96</v>
      </c>
      <c r="D8" s="182">
        <v>21.1</v>
      </c>
      <c r="E8" s="203">
        <v>9.8000000000000007</v>
      </c>
      <c r="F8" s="191">
        <f>100-F7</f>
        <v>2.0678000000000054</v>
      </c>
    </row>
    <row r="9" spans="2:6" ht="14.25" customHeight="1">
      <c r="B9" s="192"/>
      <c r="C9" s="186"/>
      <c r="D9" s="187" t="s">
        <v>102</v>
      </c>
      <c r="E9" s="185" t="s">
        <v>104</v>
      </c>
      <c r="F9" s="193"/>
    </row>
    <row r="10" spans="2:6">
      <c r="B10" s="183" t="s">
        <v>99</v>
      </c>
      <c r="C10" s="181" t="s">
        <v>95</v>
      </c>
      <c r="D10" s="188"/>
      <c r="E10" s="188"/>
      <c r="F10" s="189">
        <f>D10+(100-D10)*E10/100</f>
        <v>0</v>
      </c>
    </row>
    <row r="11" spans="2:6">
      <c r="B11" s="194"/>
      <c r="C11" s="190" t="s">
        <v>96</v>
      </c>
      <c r="D11" s="182"/>
      <c r="E11" s="182"/>
      <c r="F11" s="191">
        <f>100-F10</f>
        <v>100</v>
      </c>
    </row>
    <row r="12" spans="2:6" ht="14.25" customHeight="1">
      <c r="B12" s="192"/>
      <c r="C12" s="186"/>
      <c r="D12" s="187" t="s">
        <v>103</v>
      </c>
      <c r="E12" s="185" t="s">
        <v>105</v>
      </c>
      <c r="F12" s="193"/>
    </row>
    <row r="13" spans="2:6">
      <c r="B13" s="183" t="s">
        <v>100</v>
      </c>
      <c r="C13" s="181" t="s">
        <v>95</v>
      </c>
      <c r="D13" s="195"/>
      <c r="E13" s="195"/>
      <c r="F13" s="189">
        <f>D13+(100-D13)*E13/100</f>
        <v>0</v>
      </c>
    </row>
    <row r="14" spans="2:6">
      <c r="B14" s="194"/>
      <c r="C14" s="190" t="s">
        <v>96</v>
      </c>
      <c r="D14" s="196"/>
      <c r="E14" s="196"/>
      <c r="F14" s="191">
        <f>100-F13</f>
        <v>100</v>
      </c>
    </row>
  </sheetData>
  <mergeCells count="4">
    <mergeCell ref="F5:F6"/>
    <mergeCell ref="C5:C6"/>
    <mergeCell ref="B5:B6"/>
    <mergeCell ref="C2:D2"/>
  </mergeCells>
  <conditionalFormatting sqref="C2:D2">
    <cfRule type="cellIs" dxfId="18" priority="1" stopIfTrue="1" operator="equal">
      <formul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rgb="FFFFFF00"/>
    <pageSetUpPr fitToPage="1"/>
  </sheetPr>
  <dimension ref="A1:AA46"/>
  <sheetViews>
    <sheetView showGridLines="0" tabSelected="1" topLeftCell="A22" zoomScale="75" zoomScaleNormal="75" zoomScaleSheetLayoutView="75" workbookViewId="0">
      <selection activeCell="F42" sqref="F42"/>
    </sheetView>
  </sheetViews>
  <sheetFormatPr defaultColWidth="12.85546875" defaultRowHeight="15.75"/>
  <cols>
    <col min="1" max="1" width="15.5703125" style="1" customWidth="1"/>
    <col min="2" max="3" width="13.7109375" style="1" customWidth="1"/>
    <col min="4" max="7" width="12.7109375" style="1" customWidth="1"/>
    <col min="8" max="9" width="11.7109375" style="1" customWidth="1"/>
    <col min="10" max="11" width="10.7109375" style="1" customWidth="1"/>
    <col min="12" max="12" width="4.7109375" style="1" customWidth="1"/>
    <col min="13" max="13" width="14.7109375" style="1" customWidth="1"/>
    <col min="14" max="14" width="13.7109375" style="1" customWidth="1"/>
    <col min="15" max="15" width="6.5703125" style="1" customWidth="1"/>
    <col min="16" max="16" width="9.7109375" style="1" customWidth="1"/>
    <col min="17" max="17" width="12.7109375" style="1" customWidth="1"/>
    <col min="18" max="18" width="12.28515625" style="1" customWidth="1"/>
    <col min="19" max="21" width="15.7109375" style="1" customWidth="1"/>
    <col min="22" max="16384" width="12.85546875" style="1"/>
  </cols>
  <sheetData>
    <row r="1" spans="1:27" ht="17.100000000000001" customHeight="1">
      <c r="A1" s="60" t="s">
        <v>75</v>
      </c>
      <c r="B1" s="208" t="s">
        <v>77</v>
      </c>
      <c r="C1" s="208"/>
      <c r="F1" s="60" t="s">
        <v>74</v>
      </c>
      <c r="G1" s="208" t="s">
        <v>76</v>
      </c>
      <c r="H1" s="208"/>
      <c r="K1" s="156"/>
      <c r="L1" s="156"/>
      <c r="M1" s="156" t="s">
        <v>73</v>
      </c>
      <c r="N1" s="226">
        <v>41898</v>
      </c>
      <c r="O1" s="226"/>
      <c r="P1" s="153"/>
      <c r="Q1" s="152"/>
      <c r="R1" s="151"/>
      <c r="T1" s="150"/>
      <c r="V1" s="118"/>
      <c r="W1" s="118"/>
      <c r="AA1" s="1" t="s">
        <v>72</v>
      </c>
    </row>
    <row r="2" spans="1:27" ht="17.100000000000001" customHeight="1">
      <c r="A2" s="60"/>
      <c r="D2" s="60"/>
      <c r="E2" s="150"/>
      <c r="F2" s="157"/>
      <c r="G2" s="150"/>
      <c r="I2" s="156"/>
      <c r="J2" s="156"/>
      <c r="K2" s="156"/>
      <c r="L2" s="156"/>
      <c r="M2" s="60"/>
      <c r="N2" s="64"/>
      <c r="O2" s="7"/>
      <c r="P2" s="153"/>
      <c r="Q2" s="152"/>
      <c r="R2" s="151"/>
      <c r="T2" s="150"/>
      <c r="V2" s="118"/>
      <c r="W2" s="118"/>
      <c r="AA2" s="1" t="s">
        <v>71</v>
      </c>
    </row>
    <row r="3" spans="1:27" ht="17.100000000000001" customHeight="1">
      <c r="A3" s="60" t="s">
        <v>70</v>
      </c>
      <c r="B3" s="155" t="s">
        <v>82</v>
      </c>
      <c r="C3" s="145"/>
      <c r="D3" s="145"/>
      <c r="E3" s="145"/>
      <c r="F3" s="145"/>
      <c r="G3" s="145"/>
      <c r="H3" s="145"/>
      <c r="I3" s="145"/>
      <c r="J3" s="145"/>
      <c r="K3" s="145"/>
      <c r="L3" s="145"/>
      <c r="M3" s="145"/>
      <c r="N3" s="145"/>
      <c r="O3" s="145"/>
      <c r="P3" s="153"/>
      <c r="Q3" s="152"/>
      <c r="R3" s="151"/>
      <c r="T3" s="150"/>
      <c r="V3" s="118"/>
      <c r="W3" s="118"/>
    </row>
    <row r="4" spans="1:27" ht="17.100000000000001" customHeight="1">
      <c r="A4" s="60"/>
      <c r="B4" s="60"/>
      <c r="C4" s="150"/>
      <c r="D4" s="150"/>
      <c r="E4" s="60"/>
      <c r="F4" s="130"/>
      <c r="G4" s="60"/>
      <c r="H4" s="60"/>
      <c r="I4" s="130"/>
      <c r="J4" s="154"/>
      <c r="N4" s="7"/>
      <c r="O4" s="7"/>
      <c r="P4" s="153"/>
      <c r="Q4" s="152"/>
      <c r="R4" s="151"/>
      <c r="T4" s="150"/>
      <c r="V4" s="118"/>
      <c r="W4" s="118"/>
    </row>
    <row r="5" spans="1:27" ht="17.100000000000001" customHeight="1">
      <c r="A5" s="149" t="s">
        <v>69</v>
      </c>
      <c r="B5" s="208" t="s">
        <v>80</v>
      </c>
      <c r="C5" s="208"/>
      <c r="D5" s="208"/>
      <c r="E5" s="208"/>
      <c r="F5" s="208"/>
      <c r="G5" s="208"/>
      <c r="H5" s="208"/>
      <c r="I5" s="208"/>
      <c r="J5" s="208"/>
      <c r="K5" s="208"/>
      <c r="L5" s="208"/>
      <c r="M5" s="208"/>
      <c r="N5" s="208"/>
      <c r="O5" s="208"/>
      <c r="P5" s="7"/>
      <c r="Q5" s="7"/>
      <c r="S5" s="118"/>
      <c r="T5" s="118"/>
      <c r="V5" s="118"/>
      <c r="W5" s="118"/>
    </row>
    <row r="6" spans="1:27" ht="17.100000000000001" customHeight="1">
      <c r="A6" s="64"/>
      <c r="B6" s="61"/>
      <c r="C6" s="61"/>
      <c r="D6" s="61"/>
      <c r="E6" s="61"/>
      <c r="F6" s="61"/>
      <c r="G6" s="61"/>
      <c r="H6" s="61"/>
      <c r="I6" s="61"/>
      <c r="J6" s="61"/>
      <c r="M6" s="7"/>
      <c r="N6" s="7"/>
      <c r="O6" s="7"/>
      <c r="P6" s="7"/>
      <c r="Q6" s="7"/>
      <c r="S6" s="118"/>
      <c r="T6" s="57"/>
      <c r="V6" s="118"/>
      <c r="W6" s="118"/>
    </row>
    <row r="7" spans="1:27" s="145" customFormat="1" ht="65.25" customHeight="1">
      <c r="A7" s="148" t="s">
        <v>68</v>
      </c>
      <c r="B7" s="208" t="s">
        <v>81</v>
      </c>
      <c r="C7" s="208"/>
      <c r="D7" s="208"/>
      <c r="E7" s="208"/>
      <c r="F7" s="208"/>
      <c r="G7" s="208"/>
      <c r="H7" s="208"/>
      <c r="I7" s="208"/>
      <c r="J7" s="208"/>
      <c r="K7" s="208"/>
      <c r="L7" s="208"/>
      <c r="M7" s="208"/>
      <c r="N7" s="208"/>
      <c r="O7" s="208"/>
      <c r="P7" s="147"/>
      <c r="Q7" s="147"/>
      <c r="S7" s="146"/>
      <c r="T7" s="146"/>
      <c r="U7" s="146"/>
      <c r="V7" s="146"/>
      <c r="W7" s="146"/>
    </row>
    <row r="8" spans="1:27" ht="17.100000000000001" customHeight="1">
      <c r="A8" s="64"/>
      <c r="B8" s="145"/>
      <c r="C8" s="145"/>
      <c r="D8" s="145"/>
      <c r="E8" s="145"/>
      <c r="F8" s="145"/>
      <c r="G8" s="145"/>
      <c r="H8" s="145"/>
      <c r="I8" s="145"/>
      <c r="J8" s="145"/>
      <c r="K8" s="7"/>
      <c r="L8" s="7"/>
      <c r="O8" s="128"/>
      <c r="R8" s="118"/>
      <c r="S8" s="120"/>
      <c r="T8" s="120"/>
      <c r="U8" s="120"/>
      <c r="V8" s="120"/>
      <c r="W8" s="120"/>
    </row>
    <row r="9" spans="1:27" ht="17.100000000000001" customHeight="1">
      <c r="A9" s="215" t="s">
        <v>67</v>
      </c>
      <c r="B9" s="215"/>
      <c r="C9" s="126">
        <v>1000</v>
      </c>
      <c r="D9" s="133" t="str">
        <f>"g of "&amp;B3</f>
        <v>g of GR-1(BS-3A13-03) Gravity Tails</v>
      </c>
      <c r="E9" s="144"/>
      <c r="F9" s="143"/>
      <c r="H9" s="137" t="s">
        <v>66</v>
      </c>
      <c r="I9" s="124" t="s">
        <v>65</v>
      </c>
      <c r="J9" s="142" t="s">
        <v>64</v>
      </c>
      <c r="K9" s="142"/>
      <c r="L9" s="142"/>
      <c r="M9" s="7"/>
      <c r="O9" s="7"/>
      <c r="R9" s="118"/>
      <c r="T9" s="141"/>
      <c r="U9" s="120"/>
      <c r="V9" s="120"/>
      <c r="W9" s="120"/>
    </row>
    <row r="10" spans="1:27" ht="17.100000000000001" customHeight="1">
      <c r="A10" s="215" t="s">
        <v>63</v>
      </c>
      <c r="B10" s="215"/>
      <c r="C10" s="140">
        <v>0.4</v>
      </c>
      <c r="D10" s="133" t="s">
        <v>62</v>
      </c>
      <c r="E10" s="61"/>
      <c r="F10" s="61"/>
      <c r="H10" s="137" t="s">
        <v>61</v>
      </c>
      <c r="I10" s="126">
        <v>0</v>
      </c>
      <c r="J10" s="134" t="s">
        <v>60</v>
      </c>
      <c r="M10" s="132" t="str">
        <f>IF(I10&lt;=0,"","Pb(NO3)2 Added:")</f>
        <v/>
      </c>
      <c r="N10" s="139" t="str">
        <f>IF(I10&lt;=0,"",I10*C9/1000/1000&amp;" g")</f>
        <v/>
      </c>
      <c r="O10" s="138"/>
      <c r="T10" s="57"/>
      <c r="V10" s="118"/>
      <c r="W10" s="118"/>
    </row>
    <row r="11" spans="1:27" ht="17.100000000000001" customHeight="1">
      <c r="A11" s="215" t="s">
        <v>59</v>
      </c>
      <c r="B11" s="215"/>
      <c r="C11" s="126">
        <f>IF(C10="","",(C9/C10)-C9)</f>
        <v>1500</v>
      </c>
      <c r="D11" s="133" t="s">
        <v>58</v>
      </c>
      <c r="F11" s="61"/>
      <c r="H11" s="137" t="s">
        <v>57</v>
      </c>
      <c r="I11" s="136">
        <v>0.5</v>
      </c>
      <c r="J11" s="135" t="s">
        <v>56</v>
      </c>
      <c r="K11" s="134"/>
      <c r="L11" s="134"/>
      <c r="R11" s="118"/>
      <c r="T11" s="120"/>
      <c r="U11" s="120"/>
      <c r="V11" s="120"/>
      <c r="W11" s="120"/>
    </row>
    <row r="12" spans="1:27" ht="17.100000000000001" customHeight="1">
      <c r="A12" s="215" t="s">
        <v>55</v>
      </c>
      <c r="B12" s="215"/>
      <c r="C12" s="126">
        <f>IF(C10="","",$M$18+$C$9+$C$11)</f>
        <v>3512</v>
      </c>
      <c r="D12" s="133" t="s">
        <v>41</v>
      </c>
      <c r="E12" s="61"/>
      <c r="F12" s="61"/>
      <c r="H12" s="132" t="str">
        <f>IF(I11&lt;=0,"","Target Additon:")</f>
        <v>Target Additon:</v>
      </c>
      <c r="I12" s="131">
        <f>IF(I11&lt;=0,"",I11*C11/I13/1000)</f>
        <v>0.75834175935288173</v>
      </c>
      <c r="Q12" s="7"/>
      <c r="T12" s="57"/>
      <c r="V12" s="118"/>
      <c r="W12" s="118"/>
    </row>
    <row r="13" spans="1:27" ht="17.100000000000001" customHeight="1">
      <c r="A13" s="123"/>
      <c r="G13" s="61"/>
      <c r="H13" s="130" t="s">
        <v>54</v>
      </c>
      <c r="I13" s="129">
        <v>0.98899999999999999</v>
      </c>
      <c r="J13" s="61"/>
      <c r="P13" s="128"/>
      <c r="Q13" s="127"/>
      <c r="R13" s="118"/>
      <c r="T13" s="120"/>
      <c r="U13" s="120"/>
      <c r="V13" s="120"/>
      <c r="W13" s="120"/>
    </row>
    <row r="14" spans="1:27" ht="17.100000000000001" customHeight="1">
      <c r="A14" s="123"/>
      <c r="B14" s="123"/>
      <c r="E14" s="61"/>
      <c r="F14" s="61"/>
      <c r="G14" s="61"/>
      <c r="H14" s="124"/>
      <c r="I14" s="123"/>
      <c r="J14" s="61"/>
      <c r="K14" s="61"/>
      <c r="L14" s="61"/>
      <c r="P14" s="128"/>
      <c r="Q14" s="127"/>
      <c r="R14" s="118"/>
      <c r="T14" s="120"/>
      <c r="U14" s="120"/>
      <c r="V14" s="120"/>
      <c r="W14" s="120"/>
    </row>
    <row r="15" spans="1:27" ht="17.100000000000001" customHeight="1">
      <c r="A15" s="215" t="s">
        <v>53</v>
      </c>
      <c r="B15" s="215"/>
      <c r="C15" s="126">
        <v>1</v>
      </c>
      <c r="D15" s="8" t="s">
        <v>52</v>
      </c>
      <c r="E15" s="8">
        <v>25</v>
      </c>
      <c r="F15" s="125" t="s">
        <v>51</v>
      </c>
      <c r="G15" s="8" t="s">
        <v>108</v>
      </c>
      <c r="H15" s="118" t="s">
        <v>50</v>
      </c>
      <c r="I15" s="8">
        <v>50</v>
      </c>
      <c r="J15" s="1" t="s">
        <v>49</v>
      </c>
      <c r="R15" s="118"/>
      <c r="V15" s="118"/>
    </row>
    <row r="16" spans="1:27" ht="17.100000000000001" customHeight="1">
      <c r="A16" s="64"/>
      <c r="C16" s="61"/>
      <c r="D16" s="61"/>
      <c r="E16" s="61"/>
      <c r="F16" s="61"/>
      <c r="G16" s="61"/>
      <c r="P16" s="7"/>
      <c r="Q16" s="7"/>
      <c r="R16" s="7"/>
      <c r="T16" s="118"/>
      <c r="U16" s="57"/>
      <c r="V16" s="118"/>
      <c r="W16" s="118"/>
    </row>
    <row r="17" spans="1:25" ht="17.100000000000001" customHeight="1">
      <c r="B17" s="124" t="s">
        <v>48</v>
      </c>
      <c r="C17" s="8">
        <v>75</v>
      </c>
      <c r="D17" s="61" t="s">
        <v>44</v>
      </c>
      <c r="G17" s="123" t="s">
        <v>47</v>
      </c>
      <c r="H17" s="123" t="s">
        <v>72</v>
      </c>
      <c r="K17" s="211" t="s">
        <v>46</v>
      </c>
      <c r="L17" s="211"/>
      <c r="M17" s="122">
        <v>1</v>
      </c>
      <c r="P17" s="8"/>
      <c r="Q17" s="8"/>
      <c r="R17" s="8"/>
      <c r="T17" s="118"/>
      <c r="U17" s="57"/>
      <c r="V17" s="118"/>
      <c r="W17" s="118"/>
    </row>
    <row r="18" spans="1:25" ht="17.100000000000001" customHeight="1">
      <c r="B18" s="124" t="s">
        <v>45</v>
      </c>
      <c r="C18" s="8">
        <v>77</v>
      </c>
      <c r="D18" s="61" t="s">
        <v>44</v>
      </c>
      <c r="G18" s="123" t="s">
        <v>43</v>
      </c>
      <c r="H18" s="123" t="s">
        <v>71</v>
      </c>
      <c r="K18" s="212" t="s">
        <v>42</v>
      </c>
      <c r="L18" s="212"/>
      <c r="M18" s="122">
        <v>1012</v>
      </c>
      <c r="N18" s="57" t="s">
        <v>41</v>
      </c>
      <c r="P18" s="8"/>
      <c r="Q18" s="121"/>
      <c r="R18" s="121"/>
      <c r="S18" s="7"/>
    </row>
    <row r="19" spans="1:25" ht="17.100000000000001" customHeight="1">
      <c r="A19" s="7"/>
      <c r="B19" s="7"/>
      <c r="C19" s="7"/>
      <c r="D19" s="7"/>
      <c r="E19" s="7"/>
      <c r="F19" s="7"/>
      <c r="G19" s="7"/>
      <c r="H19" s="7"/>
      <c r="I19" s="7"/>
      <c r="J19" s="7"/>
      <c r="K19" s="118"/>
      <c r="L19" s="118"/>
      <c r="N19" s="8"/>
      <c r="O19" s="8"/>
      <c r="P19" s="8"/>
      <c r="Q19" s="121"/>
      <c r="R19" s="121"/>
      <c r="S19" s="7"/>
      <c r="T19" s="120"/>
      <c r="U19" s="120"/>
      <c r="V19" s="120"/>
      <c r="W19" s="120"/>
    </row>
    <row r="20" spans="1:25" ht="17.100000000000001" customHeight="1">
      <c r="A20" s="216" t="s">
        <v>40</v>
      </c>
      <c r="B20" s="213" t="s">
        <v>39</v>
      </c>
      <c r="C20" s="243"/>
      <c r="D20" s="243"/>
      <c r="E20" s="214"/>
      <c r="F20" s="213" t="s">
        <v>38</v>
      </c>
      <c r="G20" s="214"/>
      <c r="H20" s="213" t="s">
        <v>37</v>
      </c>
      <c r="I20" s="214"/>
      <c r="J20" s="249" t="s">
        <v>36</v>
      </c>
      <c r="K20" s="249" t="s">
        <v>35</v>
      </c>
      <c r="L20" s="216" t="s">
        <v>34</v>
      </c>
      <c r="M20" s="252" t="s">
        <v>33</v>
      </c>
      <c r="N20" s="247" t="s">
        <v>32</v>
      </c>
      <c r="O20" s="248"/>
      <c r="P20" s="240" t="s">
        <v>31</v>
      </c>
      <c r="Q20" s="216" t="s">
        <v>30</v>
      </c>
      <c r="R20" s="216" t="s">
        <v>29</v>
      </c>
      <c r="S20" s="216" t="s">
        <v>28</v>
      </c>
      <c r="T20" s="216" t="s">
        <v>27</v>
      </c>
      <c r="U20" s="221" t="s">
        <v>26</v>
      </c>
      <c r="V20" s="120"/>
      <c r="W20" s="120"/>
      <c r="X20" s="120"/>
    </row>
    <row r="21" spans="1:25" ht="17.100000000000001" customHeight="1">
      <c r="A21" s="217"/>
      <c r="B21" s="238" t="s">
        <v>25</v>
      </c>
      <c r="C21" s="239"/>
      <c r="D21" s="238" t="s">
        <v>24</v>
      </c>
      <c r="E21" s="239"/>
      <c r="F21" s="219" t="s">
        <v>1</v>
      </c>
      <c r="G21" s="228" t="s">
        <v>0</v>
      </c>
      <c r="H21" s="230" t="s">
        <v>1</v>
      </c>
      <c r="I21" s="232" t="s">
        <v>0</v>
      </c>
      <c r="J21" s="250"/>
      <c r="K21" s="250"/>
      <c r="L21" s="217"/>
      <c r="M21" s="253"/>
      <c r="N21" s="224" t="s">
        <v>23</v>
      </c>
      <c r="O21" s="119" t="s">
        <v>22</v>
      </c>
      <c r="P21" s="241"/>
      <c r="Q21" s="217"/>
      <c r="R21" s="217"/>
      <c r="S21" s="217"/>
      <c r="T21" s="217"/>
      <c r="U21" s="222"/>
      <c r="V21" s="118"/>
      <c r="W21" s="118"/>
      <c r="X21" s="118"/>
    </row>
    <row r="22" spans="1:25" ht="17.100000000000001" customHeight="1">
      <c r="A22" s="218"/>
      <c r="B22" s="116" t="s">
        <v>1</v>
      </c>
      <c r="C22" s="117" t="s">
        <v>21</v>
      </c>
      <c r="D22" s="116" t="s">
        <v>1</v>
      </c>
      <c r="E22" s="115" t="s">
        <v>0</v>
      </c>
      <c r="F22" s="220"/>
      <c r="G22" s="229"/>
      <c r="H22" s="231"/>
      <c r="I22" s="233"/>
      <c r="J22" s="251"/>
      <c r="K22" s="251"/>
      <c r="L22" s="218"/>
      <c r="M22" s="254"/>
      <c r="N22" s="225"/>
      <c r="O22" s="114"/>
      <c r="P22" s="242"/>
      <c r="Q22" s="218"/>
      <c r="R22" s="218"/>
      <c r="S22" s="218"/>
      <c r="T22" s="218"/>
      <c r="U22" s="223"/>
      <c r="V22" s="8"/>
      <c r="W22" s="8"/>
      <c r="X22" s="8"/>
    </row>
    <row r="23" spans="1:25" s="79" customFormat="1" ht="17.100000000000001" customHeight="1">
      <c r="A23" s="107"/>
      <c r="B23" s="112"/>
      <c r="C23" s="113"/>
      <c r="D23" s="112"/>
      <c r="E23" s="100"/>
      <c r="F23" s="112"/>
      <c r="G23" s="111"/>
      <c r="H23" s="112"/>
      <c r="I23" s="111"/>
      <c r="J23" s="99">
        <v>9.4</v>
      </c>
      <c r="K23" s="110"/>
      <c r="L23" s="110"/>
      <c r="M23" s="110"/>
      <c r="N23" s="109"/>
      <c r="O23" s="108"/>
      <c r="P23" s="107"/>
      <c r="Q23" s="107"/>
      <c r="R23" s="106"/>
      <c r="S23" s="106"/>
      <c r="T23" s="106"/>
      <c r="U23" s="106"/>
      <c r="V23" s="91"/>
      <c r="W23" s="91"/>
      <c r="X23" s="91"/>
    </row>
    <row r="24" spans="1:25" s="79" customFormat="1" ht="17.100000000000001" customHeight="1">
      <c r="A24" s="105" t="str">
        <f>"0-" &amp;R24</f>
        <v>0-2</v>
      </c>
      <c r="B24" s="102">
        <v>0.76</v>
      </c>
      <c r="C24" s="100">
        <v>0.28999999999999998</v>
      </c>
      <c r="D24" s="101">
        <f>B24*$I$13</f>
        <v>0.75163999999999997</v>
      </c>
      <c r="E24" s="100">
        <f>C24*0.74</f>
        <v>0.21459999999999999</v>
      </c>
      <c r="F24" s="101">
        <f>IF($M24=0,"",0.005*Q24*($M24-$M$18-$B$39)/$S24)</f>
        <v>0.76635615000000012</v>
      </c>
      <c r="G24" s="100">
        <f>IF($M24=0,"",0.001*P24*($M24-$M$18-$B$39)/$S24)</f>
        <v>0</v>
      </c>
      <c r="H24" s="101">
        <f>IF(F24="","",IF(D24-F24&lt;0,0,D24-F24))</f>
        <v>0</v>
      </c>
      <c r="I24" s="100" t="str">
        <f>IF(P24="","",IF(E24-G24&lt;0,0,E24-G24))</f>
        <v/>
      </c>
      <c r="J24" s="99">
        <v>10.9</v>
      </c>
      <c r="K24" s="98">
        <v>2.9</v>
      </c>
      <c r="L24" s="98"/>
      <c r="M24" s="97">
        <v>3515</v>
      </c>
      <c r="N24" s="104">
        <v>1.06</v>
      </c>
      <c r="O24" s="100">
        <v>1.05</v>
      </c>
      <c r="P24" s="92"/>
      <c r="Q24" s="94">
        <f>N24*O24</f>
        <v>1.1130000000000002</v>
      </c>
      <c r="R24" s="93">
        <v>2</v>
      </c>
      <c r="S24" s="92">
        <v>10</v>
      </c>
      <c r="T24" s="92">
        <v>30</v>
      </c>
      <c r="U24" s="92">
        <f>S24+T24</f>
        <v>40</v>
      </c>
      <c r="V24" s="91"/>
      <c r="W24" s="91"/>
      <c r="X24" s="91"/>
    </row>
    <row r="25" spans="1:25" s="79" customFormat="1" ht="17.100000000000001" customHeight="1">
      <c r="A25" s="103" t="str">
        <f>R24 &amp;"-" &amp;R25</f>
        <v>2-8</v>
      </c>
      <c r="B25" s="102">
        <v>0</v>
      </c>
      <c r="C25" s="100">
        <v>0.157</v>
      </c>
      <c r="D25" s="101">
        <f>B25*$I$13</f>
        <v>0</v>
      </c>
      <c r="E25" s="100">
        <f>C25*0.74</f>
        <v>0.11618000000000001</v>
      </c>
      <c r="F25" s="101">
        <f>IF($M25=0,"",0.005*Q25*($M25-$M$18-$B$39)/$S25)</f>
        <v>0.63483420000000002</v>
      </c>
      <c r="G25" s="100">
        <f>IF($M25=0,"",0.001*P25*($M25-$M$18-$B$39)/$S25)</f>
        <v>0</v>
      </c>
      <c r="H25" s="101">
        <f>IF(F25="","",IF(D25-F25&lt;0,0,D25+F24-F25))</f>
        <v>0</v>
      </c>
      <c r="I25" s="100" t="str">
        <f>IF(P25="","",IF(E25-G25&lt;0,0,E25+G24-G25))</f>
        <v/>
      </c>
      <c r="J25" s="99">
        <v>10.9</v>
      </c>
      <c r="K25" s="98">
        <v>7.4</v>
      </c>
      <c r="L25" s="98"/>
      <c r="M25" s="97">
        <v>3512</v>
      </c>
      <c r="N25" s="96">
        <v>0.88</v>
      </c>
      <c r="O25" s="100">
        <v>1.05</v>
      </c>
      <c r="P25" s="92"/>
      <c r="Q25" s="94">
        <f>N25*O25</f>
        <v>0.92400000000000004</v>
      </c>
      <c r="R25" s="93">
        <v>8</v>
      </c>
      <c r="S25" s="92">
        <v>10</v>
      </c>
      <c r="T25" s="92">
        <v>30</v>
      </c>
      <c r="U25" s="92">
        <f>S25+T25</f>
        <v>40</v>
      </c>
      <c r="V25" s="91"/>
      <c r="W25" s="91"/>
      <c r="X25" s="91"/>
    </row>
    <row r="26" spans="1:25" s="79" customFormat="1" ht="17.100000000000001" customHeight="1">
      <c r="A26" s="103" t="str">
        <f>R25 &amp;"-" &amp;R26</f>
        <v>8-24</v>
      </c>
      <c r="B26" s="102">
        <v>0.28999999999999998</v>
      </c>
      <c r="C26" s="100">
        <v>0.19500000000000001</v>
      </c>
      <c r="D26" s="101">
        <f>B26*$I$13</f>
        <v>0.28680999999999995</v>
      </c>
      <c r="E26" s="100">
        <f>C26*0.74</f>
        <v>0.14430000000000001</v>
      </c>
      <c r="F26" s="101">
        <f>IF($M26=0,"",0.005*Q26*($M26-$M$18-$B$39)/$S26)</f>
        <v>0.93850575000000003</v>
      </c>
      <c r="G26" s="100">
        <f>IF($M26=0,"",0.001*P26*($M26-$M$18-$B$39)/$S26)</f>
        <v>0</v>
      </c>
      <c r="H26" s="101">
        <f>IF(F26="","",IF(D26-F26&lt;0,0,D26+F25-F26))</f>
        <v>0</v>
      </c>
      <c r="I26" s="100" t="str">
        <f>IF(P26="","",IF(E26-G26&lt;0,0,E26+G25-G26))</f>
        <v/>
      </c>
      <c r="J26" s="99">
        <v>10.9</v>
      </c>
      <c r="K26" s="98">
        <v>7.7</v>
      </c>
      <c r="L26" s="98"/>
      <c r="M26" s="97">
        <v>3513</v>
      </c>
      <c r="N26" s="96">
        <v>1.3</v>
      </c>
      <c r="O26" s="100">
        <v>1.05</v>
      </c>
      <c r="P26" s="92"/>
      <c r="Q26" s="94">
        <f>N26*O26</f>
        <v>1.3650000000000002</v>
      </c>
      <c r="R26" s="93">
        <v>24</v>
      </c>
      <c r="S26" s="92">
        <v>10</v>
      </c>
      <c r="T26" s="92">
        <v>30</v>
      </c>
      <c r="U26" s="92">
        <f>S26+T26</f>
        <v>40</v>
      </c>
      <c r="V26" s="91"/>
      <c r="W26" s="91"/>
      <c r="X26" s="91"/>
    </row>
    <row r="27" spans="1:25" s="79" customFormat="1" ht="17.100000000000001" customHeight="1">
      <c r="A27" s="103" t="str">
        <f>R26 &amp;"-" &amp;R27</f>
        <v>24-48</v>
      </c>
      <c r="B27" s="102">
        <v>0</v>
      </c>
      <c r="C27" s="100">
        <v>0.28199999999999997</v>
      </c>
      <c r="D27" s="101">
        <f>B27*$I$13</f>
        <v>0</v>
      </c>
      <c r="E27" s="100">
        <f>C27*0.74</f>
        <v>0.20867999999999998</v>
      </c>
      <c r="F27" s="101">
        <f>IF($M27=0,"",0.005*Q27*($M27-$M$18-$B$39)/$S27)</f>
        <v>0.88139204999999998</v>
      </c>
      <c r="G27" s="100">
        <f>IF($M27=0,"",0.001*P27*($M27-$M$18-$B$39)/$S27)</f>
        <v>0.13210559999999999</v>
      </c>
      <c r="H27" s="101">
        <f>IF(F27="","",IF(D27-F27&lt;0,0,D27+F25-F27))</f>
        <v>0</v>
      </c>
      <c r="I27" s="100">
        <f>IF(P27="","",IF(E27-G27&lt;0,0,E27+G25-G27))</f>
        <v>7.6574399999999987E-2</v>
      </c>
      <c r="J27" s="99">
        <v>10.9</v>
      </c>
      <c r="K27" s="98">
        <v>8.6</v>
      </c>
      <c r="L27" s="98"/>
      <c r="M27" s="97">
        <v>3514</v>
      </c>
      <c r="N27" s="96">
        <v>1.22</v>
      </c>
      <c r="O27" s="100">
        <v>1.05</v>
      </c>
      <c r="P27" s="95">
        <v>0.96</v>
      </c>
      <c r="Q27" s="94">
        <f>N27*O27</f>
        <v>1.2809999999999999</v>
      </c>
      <c r="R27" s="93">
        <v>48</v>
      </c>
      <c r="S27" s="92">
        <v>10</v>
      </c>
      <c r="T27" s="92">
        <v>30</v>
      </c>
      <c r="U27" s="92">
        <f>S27+T27</f>
        <v>40</v>
      </c>
      <c r="V27" s="91"/>
      <c r="W27" s="91"/>
      <c r="X27" s="91"/>
    </row>
    <row r="28" spans="1:25" s="79" customFormat="1" ht="17.100000000000001" customHeight="1">
      <c r="A28" s="90"/>
      <c r="B28" s="88"/>
      <c r="C28" s="87"/>
      <c r="D28" s="88"/>
      <c r="E28" s="87"/>
      <c r="F28" s="88"/>
      <c r="G28" s="89"/>
      <c r="H28" s="88"/>
      <c r="I28" s="87"/>
      <c r="J28" s="86"/>
      <c r="K28" s="82"/>
      <c r="L28" s="82"/>
      <c r="M28" s="85"/>
      <c r="N28" s="84"/>
      <c r="O28" s="83"/>
      <c r="P28" s="82"/>
      <c r="Q28" s="81"/>
      <c r="R28" s="80"/>
      <c r="S28" s="80"/>
      <c r="T28" s="80"/>
      <c r="U28" s="80"/>
    </row>
    <row r="29" spans="1:25" s="60" customFormat="1" ht="17.100000000000001" customHeight="1">
      <c r="A29" s="78" t="s">
        <v>20</v>
      </c>
      <c r="B29" s="74">
        <f>SUM(B24:B28)</f>
        <v>1.05</v>
      </c>
      <c r="C29" s="73">
        <f>SUM(C24:C28)</f>
        <v>0.92399999999999993</v>
      </c>
      <c r="D29" s="74">
        <f>SUM(D24:D27)</f>
        <v>1.0384499999999999</v>
      </c>
      <c r="E29" s="73">
        <f>SUM(E24:E27)</f>
        <v>0.68375999999999992</v>
      </c>
      <c r="F29" s="77">
        <f>F27</f>
        <v>0.88139204999999998</v>
      </c>
      <c r="G29" s="73">
        <f>G27</f>
        <v>0.13210559999999999</v>
      </c>
      <c r="H29" s="77">
        <f>IF(F29="","0.00",D29-F29)</f>
        <v>0.15705794999999989</v>
      </c>
      <c r="I29" s="76">
        <f>IF(G29="","0.00",E29-G29)</f>
        <v>0.55165439999999988</v>
      </c>
      <c r="J29" s="69"/>
      <c r="K29" s="69"/>
      <c r="L29" s="69"/>
      <c r="M29" s="68"/>
      <c r="N29" s="67"/>
      <c r="O29" s="65"/>
      <c r="P29" s="66"/>
      <c r="Q29" s="7"/>
      <c r="T29" s="64"/>
      <c r="U29" s="64"/>
    </row>
    <row r="30" spans="1:25" s="60" customFormat="1" ht="33.950000000000003" customHeight="1">
      <c r="A30" s="75" t="s">
        <v>19</v>
      </c>
      <c r="B30" s="74"/>
      <c r="C30" s="73"/>
      <c r="D30" s="72">
        <f>IF(B39=0,0,D29*1000/B39)</f>
        <v>0.92232880362376746</v>
      </c>
      <c r="E30" s="70">
        <f>IF(B39=0,0,E29*1000/B39)</f>
        <v>0.60730082600586177</v>
      </c>
      <c r="F30" s="71"/>
      <c r="G30" s="70"/>
      <c r="H30" s="71">
        <f>IF(B39=0,0,H29*1000/B39)</f>
        <v>0.13949547029043421</v>
      </c>
      <c r="I30" s="70">
        <f>IF(B39=0,0,I29*1000/B39)</f>
        <v>0.48996749267252854</v>
      </c>
      <c r="J30" s="69"/>
      <c r="K30" s="69"/>
      <c r="L30" s="69"/>
      <c r="M30" s="68"/>
      <c r="N30" s="67"/>
      <c r="O30" s="65"/>
      <c r="P30" s="66"/>
      <c r="Q30" s="65"/>
      <c r="T30" s="64"/>
      <c r="U30" s="64"/>
    </row>
    <row r="31" spans="1:25" s="14" customFormat="1" ht="17.100000000000001" customHeight="1">
      <c r="A31" s="64"/>
      <c r="B31" s="7"/>
      <c r="C31" s="7"/>
      <c r="D31" s="7"/>
      <c r="E31" s="7"/>
      <c r="F31" s="63"/>
      <c r="G31" s="62"/>
      <c r="H31" s="63"/>
      <c r="I31" s="62"/>
      <c r="J31" s="2"/>
      <c r="K31" s="2"/>
      <c r="L31" s="2"/>
      <c r="M31" s="61"/>
      <c r="N31" s="1"/>
      <c r="O31" s="1"/>
      <c r="P31" s="1"/>
      <c r="Q31" s="1"/>
      <c r="V31" s="15"/>
      <c r="W31" s="15"/>
      <c r="X31" s="15"/>
      <c r="Y31" s="15"/>
    </row>
    <row r="32" spans="1:25" s="14" customFormat="1" ht="17.100000000000001" customHeight="1">
      <c r="A32" s="60" t="s">
        <v>18</v>
      </c>
      <c r="B32" s="1"/>
      <c r="C32" s="1"/>
      <c r="D32" s="1"/>
      <c r="E32" s="1"/>
      <c r="F32" s="7"/>
      <c r="G32" s="1"/>
      <c r="H32" s="1"/>
      <c r="I32" s="1"/>
      <c r="J32" s="59"/>
      <c r="K32" s="59"/>
      <c r="L32" s="59"/>
      <c r="M32" s="9"/>
      <c r="N32" s="58"/>
      <c r="O32" s="57"/>
      <c r="P32" s="57"/>
      <c r="Q32" s="1"/>
      <c r="V32" s="15"/>
      <c r="W32" s="15"/>
      <c r="X32" s="15"/>
    </row>
    <row r="33" spans="1:23" s="14" customFormat="1" ht="17.100000000000001" customHeight="1">
      <c r="A33" s="221" t="s">
        <v>17</v>
      </c>
      <c r="B33" s="221" t="s">
        <v>16</v>
      </c>
      <c r="C33" s="234" t="s">
        <v>15</v>
      </c>
      <c r="D33" s="235"/>
      <c r="E33" s="236"/>
      <c r="F33" s="237" t="s">
        <v>14</v>
      </c>
      <c r="G33" s="237"/>
      <c r="H33" s="237"/>
      <c r="I33" s="234" t="s">
        <v>13</v>
      </c>
      <c r="J33" s="235"/>
      <c r="K33" s="236"/>
      <c r="L33" s="56"/>
      <c r="M33" s="244" t="s">
        <v>6</v>
      </c>
      <c r="N33" s="245"/>
      <c r="O33" s="245"/>
      <c r="P33" s="246"/>
      <c r="Q33" s="1"/>
      <c r="U33" s="15"/>
      <c r="V33" s="15"/>
      <c r="W33" s="15"/>
    </row>
    <row r="34" spans="1:23" s="14" customFormat="1" ht="17.100000000000001" customHeight="1">
      <c r="A34" s="223"/>
      <c r="B34" s="223"/>
      <c r="C34" s="55" t="s">
        <v>78</v>
      </c>
      <c r="D34" s="55" t="s">
        <v>79</v>
      </c>
      <c r="E34" s="54"/>
      <c r="F34" s="53" t="str">
        <f>$C$34</f>
        <v>Au</v>
      </c>
      <c r="G34" s="53" t="str">
        <f>$D$34</f>
        <v>Ag</v>
      </c>
      <c r="H34" s="53">
        <f>$E$34</f>
        <v>0</v>
      </c>
      <c r="I34" s="53" t="str">
        <f>$C$34</f>
        <v>Au</v>
      </c>
      <c r="J34" s="53" t="str">
        <f>$D$34</f>
        <v>Ag</v>
      </c>
      <c r="K34" s="53">
        <f>$E$34</f>
        <v>0</v>
      </c>
      <c r="L34" s="52"/>
      <c r="M34" s="51" t="str">
        <f>$C$34</f>
        <v>Au</v>
      </c>
      <c r="N34" s="51" t="str">
        <f>$D$34</f>
        <v>Ag</v>
      </c>
      <c r="O34" s="50">
        <f>$E$34</f>
        <v>0</v>
      </c>
      <c r="P34" s="49"/>
      <c r="Q34" s="1"/>
      <c r="U34" s="15"/>
      <c r="V34" s="15"/>
      <c r="W34" s="15"/>
    </row>
    <row r="35" spans="1:23" s="14" customFormat="1" ht="17.100000000000001" customHeight="1">
      <c r="A35" s="48" t="str">
        <f>R24&amp;"hr PLS"</f>
        <v>2hr PLS</v>
      </c>
      <c r="B35" s="47">
        <f>M24-$M$18-$B$39</f>
        <v>1377.1</v>
      </c>
      <c r="C35" s="198">
        <v>19.234000000000002</v>
      </c>
      <c r="D35" s="46">
        <v>2.101</v>
      </c>
      <c r="E35" s="46"/>
      <c r="F35" s="36">
        <f t="shared" ref="F35:H38" si="0">$U24*C35/1000</f>
        <v>0.76936000000000015</v>
      </c>
      <c r="G35" s="36">
        <f t="shared" si="0"/>
        <v>8.403999999999999E-2</v>
      </c>
      <c r="H35" s="36">
        <f t="shared" si="0"/>
        <v>0</v>
      </c>
      <c r="I35" s="32">
        <f>$B35/1000*C35</f>
        <v>26.487141400000002</v>
      </c>
      <c r="J35" s="35">
        <f>$B35/1000*D35</f>
        <v>2.8932870999999998</v>
      </c>
      <c r="K35" s="35">
        <f>$B35/1000*E35</f>
        <v>0</v>
      </c>
      <c r="L35" s="32"/>
      <c r="M35" s="32">
        <f t="shared" ref="M35:O38" si="1">IF(I35=0,0,I35/(I$39+I$38)*100)</f>
        <v>54.12353025908596</v>
      </c>
      <c r="N35" s="32">
        <f t="shared" si="1"/>
        <v>56.798532784077501</v>
      </c>
      <c r="O35" s="31">
        <f t="shared" si="1"/>
        <v>0</v>
      </c>
      <c r="P35" s="45"/>
      <c r="Q35" s="1"/>
    </row>
    <row r="36" spans="1:23" s="14" customFormat="1" ht="17.100000000000001" customHeight="1">
      <c r="A36" s="44" t="str">
        <f>R25&amp;"hr PLS"</f>
        <v>8hr PLS</v>
      </c>
      <c r="B36" s="43">
        <f>M25-$M$18-$B$39</f>
        <v>1374.1</v>
      </c>
      <c r="C36" s="41">
        <v>25.416</v>
      </c>
      <c r="D36" s="42">
        <v>2.7919999999999998</v>
      </c>
      <c r="E36" s="42"/>
      <c r="F36" s="36">
        <f t="shared" si="0"/>
        <v>1.01664</v>
      </c>
      <c r="G36" s="36">
        <f t="shared" si="0"/>
        <v>0.11167999999999999</v>
      </c>
      <c r="H36" s="36">
        <f t="shared" si="0"/>
        <v>0</v>
      </c>
      <c r="I36" s="32">
        <f>($B36/1000*C36)+SUM(F$35)</f>
        <v>35.693485599999995</v>
      </c>
      <c r="J36" s="35">
        <f t="shared" ref="J36:J39" si="2">$B36/1000*D36</f>
        <v>3.8364871999999992</v>
      </c>
      <c r="K36" s="42"/>
      <c r="L36" s="41"/>
      <c r="M36" s="32">
        <f t="shared" si="1"/>
        <v>72.935671643443129</v>
      </c>
      <c r="N36" s="32">
        <f t="shared" si="1"/>
        <v>75.314628819550506</v>
      </c>
      <c r="O36" s="31">
        <f t="shared" si="1"/>
        <v>0</v>
      </c>
      <c r="P36" s="40"/>
      <c r="Q36" s="1"/>
    </row>
    <row r="37" spans="1:23" s="14" customFormat="1" ht="17.100000000000001" customHeight="1">
      <c r="A37" s="44" t="str">
        <f>R26&amp;"hr PLS"</f>
        <v>24hr PLS</v>
      </c>
      <c r="B37" s="43">
        <f>M26-$M$18-$B$39</f>
        <v>1375.1</v>
      </c>
      <c r="C37" s="41">
        <v>29.416</v>
      </c>
      <c r="D37" s="42">
        <v>3.21</v>
      </c>
      <c r="E37" s="42"/>
      <c r="F37" s="36">
        <f t="shared" si="0"/>
        <v>1.1766400000000001</v>
      </c>
      <c r="G37" s="36">
        <f t="shared" si="0"/>
        <v>0.12840000000000001</v>
      </c>
      <c r="H37" s="36">
        <f t="shared" si="0"/>
        <v>0</v>
      </c>
      <c r="I37" s="32">
        <f>($B37/1000*C37)+SUM(F$35:F36)</f>
        <v>42.235941600000004</v>
      </c>
      <c r="J37" s="35">
        <f t="shared" si="2"/>
        <v>4.4140709999999999</v>
      </c>
      <c r="K37" s="42"/>
      <c r="L37" s="41"/>
      <c r="M37" s="32">
        <f t="shared" si="1"/>
        <v>86.3044534963893</v>
      </c>
      <c r="N37" s="32">
        <f t="shared" si="1"/>
        <v>86.65325898862433</v>
      </c>
      <c r="O37" s="31">
        <f t="shared" si="1"/>
        <v>0</v>
      </c>
      <c r="P37" s="40"/>
      <c r="Q37" s="1"/>
    </row>
    <row r="38" spans="1:23" s="14" customFormat="1" ht="17.100000000000001" customHeight="1">
      <c r="A38" s="39" t="str">
        <f>R27&amp;"hr PLS"</f>
        <v>48hr PLS</v>
      </c>
      <c r="B38" s="38">
        <f>M27-$M$18-$B$39</f>
        <v>1376.1</v>
      </c>
      <c r="C38" s="199">
        <v>29.937000000000001</v>
      </c>
      <c r="D38" s="37">
        <v>3.129</v>
      </c>
      <c r="E38" s="37"/>
      <c r="F38" s="36">
        <f t="shared" si="0"/>
        <v>1.1974800000000001</v>
      </c>
      <c r="G38" s="36">
        <f t="shared" si="0"/>
        <v>0.12515999999999999</v>
      </c>
      <c r="H38" s="36">
        <f t="shared" si="0"/>
        <v>0</v>
      </c>
      <c r="I38" s="202">
        <f>($B38/1000*C38)+SUM(F$35:F37)</f>
        <v>44.158945699999997</v>
      </c>
      <c r="J38" s="201">
        <f t="shared" si="2"/>
        <v>4.3058168999999999</v>
      </c>
      <c r="K38" s="34"/>
      <c r="L38" s="33"/>
      <c r="M38" s="32">
        <f t="shared" si="1"/>
        <v>90.233898694831737</v>
      </c>
      <c r="N38" s="32">
        <f t="shared" si="1"/>
        <v>84.528107271789594</v>
      </c>
      <c r="O38" s="31">
        <f t="shared" si="1"/>
        <v>0</v>
      </c>
      <c r="P38" s="30"/>
      <c r="Q38" s="1"/>
      <c r="U38" s="29"/>
      <c r="V38" s="29"/>
      <c r="W38" s="29"/>
    </row>
    <row r="39" spans="1:23" s="14" customFormat="1" ht="17.100000000000001" customHeight="1" thickBot="1">
      <c r="A39" s="28" t="s">
        <v>12</v>
      </c>
      <c r="B39" s="27">
        <v>1125.9000000000001</v>
      </c>
      <c r="C39" s="200">
        <v>0.55000000000000004</v>
      </c>
      <c r="D39" s="24">
        <v>0.7</v>
      </c>
      <c r="E39" s="24"/>
      <c r="F39" s="26"/>
      <c r="G39" s="26"/>
      <c r="H39" s="25"/>
      <c r="I39" s="24">
        <f>($B39/1000*C39)+SUM(F$35:F38)</f>
        <v>4.7793650000000012</v>
      </c>
      <c r="J39" s="24">
        <f t="shared" si="2"/>
        <v>0.78813</v>
      </c>
      <c r="K39" s="24"/>
      <c r="L39" s="24"/>
      <c r="M39" s="24">
        <f>IF(I39=0,0,I39/(I$39+I$38)%)</f>
        <v>9.7661013051682684</v>
      </c>
      <c r="N39" s="23">
        <f>IF(J39=0,0,J39/(J$39+J$38)%)</f>
        <v>15.471892728210419</v>
      </c>
      <c r="O39" s="22">
        <f>IF(K39=0,0,K39/(K$39+K$38)%)</f>
        <v>0</v>
      </c>
      <c r="P39" s="21"/>
      <c r="Q39" s="1"/>
      <c r="U39" s="15"/>
    </row>
    <row r="40" spans="1:23" s="14" customFormat="1" ht="17.100000000000001" customHeight="1">
      <c r="A40" s="20" t="s">
        <v>11</v>
      </c>
      <c r="B40" s="12">
        <f>B39</f>
        <v>1125.9000000000001</v>
      </c>
      <c r="C40" s="197">
        <f>IF($B40=0,0,(I39+I38)/($B40/1000))</f>
        <v>43.465947863931071</v>
      </c>
      <c r="D40" s="11">
        <f>IF($B40=0,0,(J39+J38)/($B40/1000))</f>
        <v>4.5243333333333329</v>
      </c>
      <c r="E40" s="19">
        <f>IF($B40=0,0,K40/($B40/1000))</f>
        <v>0</v>
      </c>
      <c r="F40" s="18"/>
      <c r="G40" s="18"/>
      <c r="H40" s="18"/>
      <c r="I40" s="17"/>
      <c r="J40" s="17"/>
      <c r="K40" s="17"/>
      <c r="L40" s="16"/>
      <c r="M40" s="16"/>
      <c r="N40" s="16"/>
      <c r="O40" s="16"/>
      <c r="P40" s="1"/>
      <c r="Q40" s="1"/>
      <c r="U40" s="15"/>
    </row>
    <row r="41" spans="1:23" ht="17.100000000000001" customHeight="1">
      <c r="A41" s="13" t="s">
        <v>10</v>
      </c>
      <c r="B41" s="12"/>
      <c r="C41" s="197">
        <v>55.1</v>
      </c>
      <c r="D41" s="11">
        <v>5.2</v>
      </c>
      <c r="E41" s="11"/>
      <c r="F41" s="10"/>
      <c r="G41" s="7"/>
      <c r="H41" s="7"/>
      <c r="I41" s="7"/>
      <c r="J41" s="7"/>
      <c r="K41" s="7"/>
      <c r="L41" s="7"/>
      <c r="M41" s="9"/>
      <c r="N41" s="8"/>
      <c r="O41" s="7"/>
    </row>
    <row r="42" spans="1:23" ht="17.100000000000001" customHeight="1">
      <c r="A42" s="7"/>
      <c r="B42" s="7"/>
      <c r="C42" s="7"/>
      <c r="D42" s="7"/>
      <c r="E42" s="7"/>
    </row>
    <row r="44" spans="1:23">
      <c r="A44" s="1" t="s">
        <v>9</v>
      </c>
      <c r="E44" s="227" t="s">
        <v>8</v>
      </c>
      <c r="F44" s="227"/>
      <c r="G44" s="227" t="s">
        <v>7</v>
      </c>
      <c r="H44" s="227"/>
      <c r="I44" s="227" t="s">
        <v>6</v>
      </c>
      <c r="J44" s="227"/>
      <c r="K44" s="227"/>
    </row>
    <row r="45" spans="1:23" ht="31.5">
      <c r="A45" s="6" t="s">
        <v>5</v>
      </c>
      <c r="B45" s="6" t="s">
        <v>4</v>
      </c>
      <c r="C45" s="6" t="s">
        <v>3</v>
      </c>
      <c r="D45" s="6" t="s">
        <v>2</v>
      </c>
      <c r="E45" s="6" t="s">
        <v>1</v>
      </c>
      <c r="F45" s="6" t="s">
        <v>0</v>
      </c>
      <c r="G45" s="6" t="s">
        <v>1</v>
      </c>
      <c r="H45" s="6" t="s">
        <v>0</v>
      </c>
      <c r="I45" s="5" t="str">
        <f>$C$34</f>
        <v>Au</v>
      </c>
      <c r="J45" s="5" t="str">
        <f>$D$34</f>
        <v>Ag</v>
      </c>
      <c r="K45" s="5">
        <f>$E$34</f>
        <v>0</v>
      </c>
    </row>
    <row r="46" spans="1:23">
      <c r="A46" s="1" t="str">
        <f>B1</f>
        <v>CN-1</v>
      </c>
      <c r="B46" s="1" t="str">
        <f>B3</f>
        <v>GR-1(BS-3A13-03) Gravity Tails</v>
      </c>
      <c r="C46" s="1">
        <f>C18</f>
        <v>77</v>
      </c>
      <c r="D46" s="4">
        <f>R27</f>
        <v>48</v>
      </c>
      <c r="E46" s="3">
        <f>D30</f>
        <v>0.92232880362376746</v>
      </c>
      <c r="F46" s="3">
        <f>E30</f>
        <v>0.60730082600586177</v>
      </c>
      <c r="G46" s="3">
        <f>H30</f>
        <v>0.13949547029043421</v>
      </c>
      <c r="H46" s="3">
        <f>I30</f>
        <v>0.48996749267252854</v>
      </c>
      <c r="I46" s="2">
        <f>M38</f>
        <v>90.233898694831737</v>
      </c>
      <c r="J46" s="2">
        <f>N38</f>
        <v>84.528107271789594</v>
      </c>
      <c r="K46" s="2">
        <f>O38</f>
        <v>0</v>
      </c>
    </row>
  </sheetData>
  <mergeCells count="43">
    <mergeCell ref="A33:A34"/>
    <mergeCell ref="B33:B34"/>
    <mergeCell ref="C33:E33"/>
    <mergeCell ref="B21:C21"/>
    <mergeCell ref="Q20:Q22"/>
    <mergeCell ref="P20:P22"/>
    <mergeCell ref="B20:E20"/>
    <mergeCell ref="D21:E21"/>
    <mergeCell ref="F20:G20"/>
    <mergeCell ref="M33:P33"/>
    <mergeCell ref="N20:O20"/>
    <mergeCell ref="J20:J22"/>
    <mergeCell ref="K20:K22"/>
    <mergeCell ref="L20:L22"/>
    <mergeCell ref="M20:M22"/>
    <mergeCell ref="G44:H44"/>
    <mergeCell ref="I44:K44"/>
    <mergeCell ref="G21:G22"/>
    <mergeCell ref="H21:H22"/>
    <mergeCell ref="I21:I22"/>
    <mergeCell ref="I33:K33"/>
    <mergeCell ref="F33:H33"/>
    <mergeCell ref="E44:F44"/>
    <mergeCell ref="N1:O1"/>
    <mergeCell ref="B5:O5"/>
    <mergeCell ref="B7:O7"/>
    <mergeCell ref="A9:B9"/>
    <mergeCell ref="A10:B10"/>
    <mergeCell ref="U20:U22"/>
    <mergeCell ref="R20:R22"/>
    <mergeCell ref="S20:S22"/>
    <mergeCell ref="T20:T22"/>
    <mergeCell ref="N21:N22"/>
    <mergeCell ref="K17:L17"/>
    <mergeCell ref="K18:L18"/>
    <mergeCell ref="B1:C1"/>
    <mergeCell ref="G1:H1"/>
    <mergeCell ref="H20:I20"/>
    <mergeCell ref="A15:B15"/>
    <mergeCell ref="A11:B11"/>
    <mergeCell ref="A12:B12"/>
    <mergeCell ref="A20:A22"/>
    <mergeCell ref="F21:F22"/>
  </mergeCells>
  <conditionalFormatting sqref="C40:E40">
    <cfRule type="expression" dxfId="17" priority="17" stopIfTrue="1">
      <formula>ISBLANK(C$34)=TRUE</formula>
    </cfRule>
    <cfRule type="cellIs" dxfId="16" priority="18" stopIfTrue="1" operator="equal">
      <formula>""</formula>
    </cfRule>
  </conditionalFormatting>
  <conditionalFormatting sqref="F35:H38">
    <cfRule type="expression" dxfId="15" priority="16" stopIfTrue="1">
      <formula>ISBLANK(C$34)=TRUE</formula>
    </cfRule>
  </conditionalFormatting>
  <conditionalFormatting sqref="I35:K39">
    <cfRule type="expression" dxfId="14" priority="15" stopIfTrue="1">
      <formula>ISBLANK(C$34)=TRUE</formula>
    </cfRule>
  </conditionalFormatting>
  <conditionalFormatting sqref="M35:O39">
    <cfRule type="expression" dxfId="13" priority="14" stopIfTrue="1">
      <formula>ISBLANK(C$34)=TRUE</formula>
    </cfRule>
  </conditionalFormatting>
  <conditionalFormatting sqref="M17:M18 C18 N1:O1 B39 K24:K25 J23:J25 M27:P27 B24:C27 J26:K27 M24:O26 O25:O27">
    <cfRule type="cellIs" dxfId="12" priority="13" stopIfTrue="1" operator="equal">
      <formula>""</formula>
    </cfRule>
  </conditionalFormatting>
  <conditionalFormatting sqref="H17:H18 C17 B7:O7 B5:O5 B3 B1:C1 G1:H1 C9:C10 R24:R27 I10:I11">
    <cfRule type="cellIs" dxfId="11" priority="12" stopIfTrue="1" operator="equal">
      <formula>""</formula>
    </cfRule>
  </conditionalFormatting>
  <conditionalFormatting sqref="G31 I31">
    <cfRule type="cellIs" dxfId="10" priority="11" stopIfTrue="1" operator="lessThan">
      <formula>0</formula>
    </cfRule>
  </conditionalFormatting>
  <conditionalFormatting sqref="C12">
    <cfRule type="expression" dxfId="9" priority="10" stopIfTrue="1">
      <formula>ISERROR($C$11)</formula>
    </cfRule>
  </conditionalFormatting>
  <conditionalFormatting sqref="I45 I34 F34 M34">
    <cfRule type="expression" dxfId="8" priority="9" stopIfTrue="1">
      <formula>ISBLANK($C$34)=TRUE</formula>
    </cfRule>
  </conditionalFormatting>
  <conditionalFormatting sqref="J45 G34 J34 N34">
    <cfRule type="expression" dxfId="7" priority="8" stopIfTrue="1">
      <formula>ISBLANK($D$34)=TRUE</formula>
    </cfRule>
  </conditionalFormatting>
  <conditionalFormatting sqref="K45 H34 K34 O34">
    <cfRule type="expression" dxfId="6" priority="7" stopIfTrue="1">
      <formula>ISBLANK($E$34)=TRUE</formula>
    </cfRule>
  </conditionalFormatting>
  <conditionalFormatting sqref="L15:M15">
    <cfRule type="expression" dxfId="5" priority="6" stopIfTrue="1">
      <formula>"$C$15&lt;=0"</formula>
    </cfRule>
  </conditionalFormatting>
  <conditionalFormatting sqref="C15">
    <cfRule type="expression" dxfId="4" priority="5" stopIfTrue="1">
      <formula>ISBLANK($C$15)</formula>
    </cfRule>
  </conditionalFormatting>
  <conditionalFormatting sqref="D15 F15 H15 J15">
    <cfRule type="expression" dxfId="3" priority="4" stopIfTrue="1">
      <formula>NOT(OR((AND(ISNUMBER($C$15),$C$15&gt;0)),(ISBLANK($C$15))))</formula>
    </cfRule>
  </conditionalFormatting>
  <conditionalFormatting sqref="E15 G15 I15">
    <cfRule type="expression" dxfId="2" priority="3" stopIfTrue="1">
      <formula>AND((AND(ISNUMBER($C$15),$C$15&gt;0)),ISBLANK(E15))</formula>
    </cfRule>
  </conditionalFormatting>
  <conditionalFormatting sqref="C35:E39">
    <cfRule type="expression" dxfId="1" priority="1" stopIfTrue="1">
      <formula>ISBLANK(C$34)=TRUE</formula>
    </cfRule>
    <cfRule type="cellIs" dxfId="0" priority="2" stopIfTrue="1" operator="equal">
      <formula>""</formula>
    </cfRule>
  </conditionalFormatting>
  <dataValidations count="1">
    <dataValidation type="list" allowBlank="1" showInputMessage="1" showErrorMessage="1" sqref="H17:H18">
      <formula1>$AA$1:$AA$2</formula1>
    </dataValidation>
  </dataValidations>
  <printOptions horizontalCentered="1"/>
  <pageMargins left="0.55000000000000004" right="0.25" top="0.24" bottom="0.5" header="0.25" footer="0.24"/>
  <pageSetup scale="70" orientation="landscape" r:id="rId1"/>
  <headerFooter alignWithMargins="0">
    <oddFooter>&amp;C&amp;"Arial,Bold"SGS Vancouver Metallurgy
&amp;"Arial,Regular"CONFIDENTIAL&amp;R&amp;P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Results</vt:lpstr>
      <vt:lpstr>Overall</vt:lpstr>
      <vt:lpstr>CN-1</vt:lpstr>
      <vt:lpstr>'CN-1'!Print_Area</vt:lpstr>
    </vt:vector>
  </TitlesOfParts>
  <Company>SGS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alexandria_hall</dc:creator>
  <cp:lastModifiedBy>jalal_tajadod</cp:lastModifiedBy>
  <dcterms:created xsi:type="dcterms:W3CDTF">2014-09-15T16:44:50Z</dcterms:created>
  <dcterms:modified xsi:type="dcterms:W3CDTF">2014-09-24T22:37:12Z</dcterms:modified>
</cp:coreProperties>
</file>