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5600" windowHeight="7995" activeTab="1"/>
  </bookViews>
  <sheets>
    <sheet name="Results" sheetId="2" r:id="rId1"/>
    <sheet name="Overall" sheetId="4" r:id="rId2"/>
    <sheet name="CN-1" sheetId="1" r:id="rId3"/>
    <sheet name="CN-2" sheetId="5" r:id="rId4"/>
    <sheet name="CN-3" sheetId="6" r:id="rId5"/>
  </sheets>
  <definedNames>
    <definedName name="_xlnm.Print_Area" localSheetId="2">'CN-1'!$A$1:$P$41</definedName>
    <definedName name="_xlnm.Print_Area" localSheetId="3">'CN-2'!$A$1:$P$41</definedName>
    <definedName name="_xlnm.Print_Area" localSheetId="4">'CN-3'!$A$1:$P$41</definedName>
    <definedName name="solver_adj" localSheetId="2" hidden="1">'CN-1'!#REF!</definedName>
    <definedName name="solver_adj" localSheetId="3" hidden="1">'CN-2'!#REF!</definedName>
    <definedName name="solver_adj" localSheetId="4" hidden="1">'CN-3'!#REF!</definedName>
    <definedName name="solver_cvg" localSheetId="2" hidden="1">0.0001</definedName>
    <definedName name="solver_cvg" localSheetId="3" hidden="1">0.0001</definedName>
    <definedName name="solver_cvg" localSheetId="4" hidden="1">0.0001</definedName>
    <definedName name="solver_drv" localSheetId="2" hidden="1">1</definedName>
    <definedName name="solver_drv" localSheetId="3" hidden="1">1</definedName>
    <definedName name="solver_drv" localSheetId="4" hidden="1">1</definedName>
    <definedName name="solver_est" localSheetId="2" hidden="1">1</definedName>
    <definedName name="solver_est" localSheetId="3" hidden="1">1</definedName>
    <definedName name="solver_est" localSheetId="4" hidden="1">1</definedName>
    <definedName name="solver_itr" localSheetId="2" hidden="1">100</definedName>
    <definedName name="solver_itr" localSheetId="3" hidden="1">100</definedName>
    <definedName name="solver_itr" localSheetId="4" hidden="1">100</definedName>
    <definedName name="solver_lin" localSheetId="2" hidden="1">2</definedName>
    <definedName name="solver_lin" localSheetId="3" hidden="1">2</definedName>
    <definedName name="solver_lin" localSheetId="4" hidden="1">2</definedName>
    <definedName name="solver_neg" localSheetId="2" hidden="1">2</definedName>
    <definedName name="solver_neg" localSheetId="3" hidden="1">2</definedName>
    <definedName name="solver_neg" localSheetId="4" hidden="1">2</definedName>
    <definedName name="solver_num" localSheetId="2" hidden="1">0</definedName>
    <definedName name="solver_num" localSheetId="3" hidden="1">0</definedName>
    <definedName name="solver_num" localSheetId="4" hidden="1">0</definedName>
    <definedName name="solver_nwt" localSheetId="2" hidden="1">1</definedName>
    <definedName name="solver_nwt" localSheetId="3" hidden="1">1</definedName>
    <definedName name="solver_nwt" localSheetId="4" hidden="1">1</definedName>
    <definedName name="solver_opt" localSheetId="2" hidden="1">'CN-1'!#REF!</definedName>
    <definedName name="solver_opt" localSheetId="3" hidden="1">'CN-2'!#REF!</definedName>
    <definedName name="solver_opt" localSheetId="4" hidden="1">'CN-3'!#REF!</definedName>
    <definedName name="solver_pre" localSheetId="2" hidden="1">0.000001</definedName>
    <definedName name="solver_pre" localSheetId="3" hidden="1">0.000001</definedName>
    <definedName name="solver_pre" localSheetId="4" hidden="1">0.000001</definedName>
    <definedName name="solver_scl" localSheetId="2" hidden="1">2</definedName>
    <definedName name="solver_scl" localSheetId="3" hidden="1">2</definedName>
    <definedName name="solver_scl" localSheetId="4" hidden="1">2</definedName>
    <definedName name="solver_sho" localSheetId="2" hidden="1">2</definedName>
    <definedName name="solver_sho" localSheetId="3" hidden="1">2</definedName>
    <definedName name="solver_sho" localSheetId="4" hidden="1">2</definedName>
    <definedName name="solver_tim" localSheetId="2" hidden="1">100</definedName>
    <definedName name="solver_tim" localSheetId="3" hidden="1">100</definedName>
    <definedName name="solver_tim" localSheetId="4" hidden="1">100</definedName>
    <definedName name="solver_tol" localSheetId="2" hidden="1">0.05</definedName>
    <definedName name="solver_tol" localSheetId="3" hidden="1">0.05</definedName>
    <definedName name="solver_tol" localSheetId="4" hidden="1">0.05</definedName>
    <definedName name="solver_typ" localSheetId="2" hidden="1">2</definedName>
    <definedName name="solver_typ" localSheetId="3" hidden="1">2</definedName>
    <definedName name="solver_typ" localSheetId="4" hidden="1">2</definedName>
    <definedName name="solver_val" localSheetId="2" hidden="1">0</definedName>
    <definedName name="solver_val" localSheetId="3" hidden="1">0</definedName>
    <definedName name="solver_val" localSheetId="4" hidden="1">0</definedName>
  </definedNames>
  <calcPr calcId="125725"/>
</workbook>
</file>

<file path=xl/calcChain.xml><?xml version="1.0" encoding="utf-8"?>
<calcChain xmlns="http://schemas.openxmlformats.org/spreadsheetml/2006/main">
  <c r="K46" i="6"/>
  <c r="D46"/>
  <c r="C46"/>
  <c r="B46"/>
  <c r="A46"/>
  <c r="K45"/>
  <c r="J45"/>
  <c r="I45"/>
  <c r="B40"/>
  <c r="D40" s="1"/>
  <c r="O39"/>
  <c r="J39"/>
  <c r="N39" s="1"/>
  <c r="O38"/>
  <c r="N38"/>
  <c r="J46" s="1"/>
  <c r="J38"/>
  <c r="H38"/>
  <c r="B38"/>
  <c r="A38"/>
  <c r="O37"/>
  <c r="F37"/>
  <c r="B37"/>
  <c r="J37" s="1"/>
  <c r="N37" s="1"/>
  <c r="A37"/>
  <c r="O36"/>
  <c r="J36"/>
  <c r="N36" s="1"/>
  <c r="H36"/>
  <c r="G36"/>
  <c r="B36"/>
  <c r="A36"/>
  <c r="K35"/>
  <c r="O35" s="1"/>
  <c r="J35"/>
  <c r="N35" s="1"/>
  <c r="B35"/>
  <c r="I35" s="1"/>
  <c r="M35" s="1"/>
  <c r="A35"/>
  <c r="O34"/>
  <c r="N34"/>
  <c r="M34"/>
  <c r="K34"/>
  <c r="J34"/>
  <c r="I34"/>
  <c r="H34"/>
  <c r="G34"/>
  <c r="F34"/>
  <c r="C29"/>
  <c r="B29"/>
  <c r="U27"/>
  <c r="F38" s="1"/>
  <c r="Q27"/>
  <c r="G27"/>
  <c r="G29" s="1"/>
  <c r="F27"/>
  <c r="F29" s="1"/>
  <c r="E27"/>
  <c r="I27" s="1"/>
  <c r="D27"/>
  <c r="A27"/>
  <c r="U26"/>
  <c r="G37" s="1"/>
  <c r="Q26"/>
  <c r="I26"/>
  <c r="G26"/>
  <c r="F26"/>
  <c r="E26"/>
  <c r="D26"/>
  <c r="A26"/>
  <c r="U25"/>
  <c r="F36" s="1"/>
  <c r="Q25"/>
  <c r="I25"/>
  <c r="G25"/>
  <c r="F25"/>
  <c r="H25" s="1"/>
  <c r="E25"/>
  <c r="D25"/>
  <c r="A25"/>
  <c r="U24"/>
  <c r="H35" s="1"/>
  <c r="Q24"/>
  <c r="I24"/>
  <c r="G24"/>
  <c r="F24"/>
  <c r="H24" s="1"/>
  <c r="E24"/>
  <c r="D24"/>
  <c r="D29" s="1"/>
  <c r="D30" s="1"/>
  <c r="E46" s="1"/>
  <c r="A24"/>
  <c r="H12"/>
  <c r="C11"/>
  <c r="C12" s="1"/>
  <c r="N10"/>
  <c r="M10"/>
  <c r="D9"/>
  <c r="D46" i="5"/>
  <c r="C46"/>
  <c r="B46"/>
  <c r="A46"/>
  <c r="K45"/>
  <c r="J45"/>
  <c r="I45"/>
  <c r="B40"/>
  <c r="O39"/>
  <c r="J39"/>
  <c r="O38"/>
  <c r="K46" s="1"/>
  <c r="B38"/>
  <c r="J38" s="1"/>
  <c r="A38"/>
  <c r="O37"/>
  <c r="B37"/>
  <c r="A37"/>
  <c r="O36"/>
  <c r="G36"/>
  <c r="F36"/>
  <c r="B36"/>
  <c r="A36"/>
  <c r="J35"/>
  <c r="F35"/>
  <c r="B35"/>
  <c r="K35" s="1"/>
  <c r="O35" s="1"/>
  <c r="A35"/>
  <c r="O34"/>
  <c r="N34"/>
  <c r="M34"/>
  <c r="K34"/>
  <c r="J34"/>
  <c r="I34"/>
  <c r="H34"/>
  <c r="G34"/>
  <c r="F34"/>
  <c r="C29"/>
  <c r="B29"/>
  <c r="U27"/>
  <c r="G38" s="1"/>
  <c r="Q27"/>
  <c r="F27" s="1"/>
  <c r="F29" s="1"/>
  <c r="H29" s="1"/>
  <c r="H30" s="1"/>
  <c r="G46" s="1"/>
  <c r="G27"/>
  <c r="G29" s="1"/>
  <c r="E27"/>
  <c r="D27"/>
  <c r="A27"/>
  <c r="U26"/>
  <c r="G37" s="1"/>
  <c r="Q26"/>
  <c r="I26"/>
  <c r="G26"/>
  <c r="F26"/>
  <c r="E26"/>
  <c r="D26"/>
  <c r="A26"/>
  <c r="U25"/>
  <c r="H36" s="1"/>
  <c r="Q25"/>
  <c r="F25" s="1"/>
  <c r="I25"/>
  <c r="G25"/>
  <c r="E25"/>
  <c r="D25"/>
  <c r="A25"/>
  <c r="U24"/>
  <c r="H35" s="1"/>
  <c r="Q24"/>
  <c r="I24"/>
  <c r="G24"/>
  <c r="F24"/>
  <c r="H24" s="1"/>
  <c r="E24"/>
  <c r="D24"/>
  <c r="A24"/>
  <c r="I12"/>
  <c r="H12"/>
  <c r="C12"/>
  <c r="C11"/>
  <c r="N10"/>
  <c r="M10"/>
  <c r="D9"/>
  <c r="F7" i="4"/>
  <c r="N38" i="5" l="1"/>
  <c r="J46" s="1"/>
  <c r="N35"/>
  <c r="I36"/>
  <c r="H26" i="6"/>
  <c r="H27"/>
  <c r="E29"/>
  <c r="E30" s="1"/>
  <c r="F46" s="1"/>
  <c r="H29"/>
  <c r="H30" s="1"/>
  <c r="G46" s="1"/>
  <c r="I38"/>
  <c r="M38" s="1"/>
  <c r="I46" s="1"/>
  <c r="I12"/>
  <c r="G38"/>
  <c r="H37"/>
  <c r="E40"/>
  <c r="G35"/>
  <c r="F35"/>
  <c r="I39" s="1"/>
  <c r="I27" i="5"/>
  <c r="H26"/>
  <c r="I37"/>
  <c r="D29"/>
  <c r="D30" s="1"/>
  <c r="E46" s="1"/>
  <c r="D40"/>
  <c r="N39"/>
  <c r="E29"/>
  <c r="E30" s="1"/>
  <c r="F46" s="1"/>
  <c r="J36"/>
  <c r="N36" s="1"/>
  <c r="I29"/>
  <c r="I30" s="1"/>
  <c r="H46" s="1"/>
  <c r="H25"/>
  <c r="I35"/>
  <c r="H37"/>
  <c r="F38"/>
  <c r="E40"/>
  <c r="H27"/>
  <c r="G35"/>
  <c r="F37"/>
  <c r="I38" s="1"/>
  <c r="J37"/>
  <c r="N37" s="1"/>
  <c r="H38"/>
  <c r="J39" i="1"/>
  <c r="I39"/>
  <c r="D40"/>
  <c r="J36"/>
  <c r="J37"/>
  <c r="J38"/>
  <c r="F13" i="4"/>
  <c r="F14" s="1"/>
  <c r="F10"/>
  <c r="F11" s="1"/>
  <c r="F8"/>
  <c r="D9" i="1"/>
  <c r="M10"/>
  <c r="N10"/>
  <c r="C11"/>
  <c r="C12" s="1"/>
  <c r="H12"/>
  <c r="I12"/>
  <c r="A24"/>
  <c r="D24"/>
  <c r="E24"/>
  <c r="F24"/>
  <c r="H24" s="1"/>
  <c r="G24"/>
  <c r="I24"/>
  <c r="Q24"/>
  <c r="U24"/>
  <c r="A25"/>
  <c r="D25"/>
  <c r="E25"/>
  <c r="G25"/>
  <c r="I25"/>
  <c r="Q25"/>
  <c r="F25" s="1"/>
  <c r="U25"/>
  <c r="A26"/>
  <c r="D26"/>
  <c r="E26"/>
  <c r="G26"/>
  <c r="I26"/>
  <c r="Q26"/>
  <c r="F26" s="1"/>
  <c r="U26"/>
  <c r="G37" s="1"/>
  <c r="A27"/>
  <c r="D27"/>
  <c r="E27"/>
  <c r="G27"/>
  <c r="G29" s="1"/>
  <c r="I29" s="1"/>
  <c r="I30" s="1"/>
  <c r="H46" s="1"/>
  <c r="Q27"/>
  <c r="F27" s="1"/>
  <c r="U27"/>
  <c r="F38" s="1"/>
  <c r="B29"/>
  <c r="C29"/>
  <c r="F34"/>
  <c r="G34"/>
  <c r="H34"/>
  <c r="I34"/>
  <c r="J34"/>
  <c r="K34"/>
  <c r="M34"/>
  <c r="N34"/>
  <c r="O34"/>
  <c r="A35"/>
  <c r="B35"/>
  <c r="K35" s="1"/>
  <c r="O35" s="1"/>
  <c r="F35"/>
  <c r="G35"/>
  <c r="H35"/>
  <c r="I35"/>
  <c r="A36"/>
  <c r="B36"/>
  <c r="F36"/>
  <c r="G36"/>
  <c r="H36"/>
  <c r="N36"/>
  <c r="O36"/>
  <c r="A37"/>
  <c r="B37"/>
  <c r="N37"/>
  <c r="O37"/>
  <c r="A38"/>
  <c r="B38"/>
  <c r="H38"/>
  <c r="N38"/>
  <c r="J46" s="1"/>
  <c r="O38"/>
  <c r="K46" s="1"/>
  <c r="M39"/>
  <c r="N39"/>
  <c r="O39"/>
  <c r="B40"/>
  <c r="I45"/>
  <c r="J45"/>
  <c r="K45"/>
  <c r="A46"/>
  <c r="B46"/>
  <c r="C46"/>
  <c r="D46"/>
  <c r="I29" i="6" l="1"/>
  <c r="I30" s="1"/>
  <c r="H46" s="1"/>
  <c r="I37"/>
  <c r="M37" s="1"/>
  <c r="C40"/>
  <c r="M39"/>
  <c r="I36"/>
  <c r="M36" s="1"/>
  <c r="I39" i="5"/>
  <c r="M38" s="1"/>
  <c r="I46" s="1"/>
  <c r="I27" i="1"/>
  <c r="H27"/>
  <c r="H26"/>
  <c r="H25"/>
  <c r="E29"/>
  <c r="E30" s="1"/>
  <c r="F46" s="1"/>
  <c r="D29"/>
  <c r="D30" s="1"/>
  <c r="E46" s="1"/>
  <c r="I36"/>
  <c r="I37"/>
  <c r="F37"/>
  <c r="I38" s="1"/>
  <c r="M38" s="1"/>
  <c r="I46" s="1"/>
  <c r="E40"/>
  <c r="G38"/>
  <c r="H37"/>
  <c r="J35"/>
  <c r="N35" s="1"/>
  <c r="F29"/>
  <c r="H29" s="1"/>
  <c r="H30" s="1"/>
  <c r="G46" s="1"/>
  <c r="M35" i="5" l="1"/>
  <c r="M36"/>
  <c r="M37"/>
  <c r="C40"/>
  <c r="M39"/>
  <c r="M35" i="1"/>
  <c r="M37"/>
  <c r="C40"/>
  <c r="M36"/>
</calcChain>
</file>

<file path=xl/sharedStrings.xml><?xml version="1.0" encoding="utf-8"?>
<sst xmlns="http://schemas.openxmlformats.org/spreadsheetml/2006/main" count="333" uniqueCount="111">
  <si>
    <t>CaO</t>
  </si>
  <si>
    <t>NaCN</t>
  </si>
  <si>
    <t>Leach Time</t>
  </si>
  <si>
    <t>Grind Size (µm)</t>
  </si>
  <si>
    <t>Sample ID</t>
  </si>
  <si>
    <t>Test ID</t>
  </si>
  <si>
    <t>% Extraction</t>
  </si>
  <si>
    <t>Consumption (kg/t)</t>
  </si>
  <si>
    <t>Addition (kg/t)</t>
  </si>
  <si>
    <t>Summary Table</t>
  </si>
  <si>
    <t>Head (direct)</t>
  </si>
  <si>
    <t>Head (calc.)</t>
  </si>
  <si>
    <t>Residue</t>
  </si>
  <si>
    <t>Total (mg)</t>
  </si>
  <si>
    <t>Sample (mg)</t>
  </si>
  <si>
    <t>Assays, mg/L, g/t, %</t>
  </si>
  <si>
    <t>Amount        (g, mL)</t>
  </si>
  <si>
    <t>Product</t>
  </si>
  <si>
    <t>Cyanidation Results:</t>
  </si>
  <si>
    <t>Total (kg/t of sample feed)</t>
  </si>
  <si>
    <t>Total</t>
  </si>
  <si>
    <r>
      <t>Ca(OH)</t>
    </r>
    <r>
      <rPr>
        <vertAlign val="subscript"/>
        <sz val="12"/>
        <color indexed="8"/>
        <rFont val="Times New Roman"/>
        <family val="1"/>
      </rPr>
      <t>2</t>
    </r>
  </si>
  <si>
    <t>C.F.</t>
  </si>
  <si>
    <t xml:space="preserve"> Titration (mL)</t>
  </si>
  <si>
    <t>Equivalent</t>
  </si>
  <si>
    <t>Actual</t>
  </si>
  <si>
    <t>Total Sample Volume (mL)</t>
  </si>
  <si>
    <t>Assay Volume (mL)</t>
  </si>
  <si>
    <t>Titration Volume (mL)</t>
  </si>
  <si>
    <t>Lapse Hours</t>
  </si>
  <si>
    <r>
      <t>AgNO</t>
    </r>
    <r>
      <rPr>
        <vertAlign val="subscript"/>
        <sz val="12"/>
        <color indexed="8"/>
        <rFont val="Times New Roman"/>
        <family val="1"/>
      </rPr>
      <t>3</t>
    </r>
    <r>
      <rPr>
        <sz val="12"/>
        <color indexed="8"/>
        <rFont val="Times New Roman"/>
        <family val="1"/>
      </rPr>
      <t xml:space="preserve"> (mL)</t>
    </r>
  </si>
  <si>
    <r>
      <t>H</t>
    </r>
    <r>
      <rPr>
        <vertAlign val="subscript"/>
        <sz val="12"/>
        <color indexed="8"/>
        <rFont val="Times New Roman"/>
        <family val="1"/>
      </rPr>
      <t>2</t>
    </r>
    <r>
      <rPr>
        <sz val="12"/>
        <color indexed="8"/>
        <rFont val="Times New Roman"/>
        <family val="1"/>
      </rPr>
      <t>C</t>
    </r>
    <r>
      <rPr>
        <vertAlign val="subscript"/>
        <sz val="12"/>
        <color indexed="8"/>
        <rFont val="Times New Roman"/>
        <family val="1"/>
      </rPr>
      <t>2</t>
    </r>
    <r>
      <rPr>
        <sz val="12"/>
        <color indexed="8"/>
        <rFont val="Times New Roman"/>
        <family val="1"/>
      </rPr>
      <t>O</t>
    </r>
    <r>
      <rPr>
        <vertAlign val="subscript"/>
        <sz val="12"/>
        <color indexed="8"/>
        <rFont val="Times New Roman"/>
        <family val="1"/>
      </rPr>
      <t xml:space="preserve">4 </t>
    </r>
    <r>
      <rPr>
        <sz val="12"/>
        <color indexed="8"/>
        <rFont val="Times New Roman"/>
        <family val="1"/>
      </rPr>
      <t>Titration (mL)</t>
    </r>
  </si>
  <si>
    <r>
      <t>AgNO</t>
    </r>
    <r>
      <rPr>
        <vertAlign val="subscript"/>
        <sz val="12"/>
        <color indexed="8"/>
        <rFont val="Times New Roman"/>
        <family val="1"/>
      </rPr>
      <t>3</t>
    </r>
  </si>
  <si>
    <t>Intermittent Weight (g)</t>
  </si>
  <si>
    <t>Air/ O2</t>
  </si>
  <si>
    <r>
      <t>D.O</t>
    </r>
    <r>
      <rPr>
        <vertAlign val="subscript"/>
        <sz val="12"/>
        <color indexed="8"/>
        <rFont val="Times New Roman"/>
        <family val="1"/>
      </rPr>
      <t>2</t>
    </r>
  </si>
  <si>
    <t>pH</t>
  </si>
  <si>
    <t>Consumed (g)</t>
  </si>
  <si>
    <t>Residual (g)</t>
  </si>
  <si>
    <t>Added (g)</t>
  </si>
  <si>
    <t>Time (h)</t>
  </si>
  <si>
    <t>g</t>
  </si>
  <si>
    <t>Bottle Tare:</t>
  </si>
  <si>
    <t>Duplicate Residue Assay:</t>
  </si>
  <si>
    <r>
      <t>µ</t>
    </r>
    <r>
      <rPr>
        <sz val="9"/>
        <color indexed="8"/>
        <rFont val="Times New Roman"/>
        <family val="1"/>
      </rPr>
      <t>m</t>
    </r>
  </si>
  <si>
    <r>
      <t>Actual K</t>
    </r>
    <r>
      <rPr>
        <vertAlign val="subscript"/>
        <sz val="12"/>
        <color indexed="8"/>
        <rFont val="Times New Roman"/>
        <family val="1"/>
      </rPr>
      <t>80</t>
    </r>
    <r>
      <rPr>
        <sz val="12"/>
        <color indexed="8"/>
        <rFont val="Times New Roman"/>
        <family val="1"/>
      </rPr>
      <t xml:space="preserve"> =</t>
    </r>
  </si>
  <si>
    <t>Bottle #:</t>
  </si>
  <si>
    <t>PSA on Residue:</t>
  </si>
  <si>
    <r>
      <t>Target K</t>
    </r>
    <r>
      <rPr>
        <vertAlign val="subscript"/>
        <sz val="12"/>
        <color indexed="8"/>
        <rFont val="Times New Roman"/>
        <family val="1"/>
      </rPr>
      <t>80</t>
    </r>
    <r>
      <rPr>
        <sz val="12"/>
        <color indexed="8"/>
        <rFont val="Times New Roman"/>
        <family val="1"/>
      </rPr>
      <t xml:space="preserve"> =</t>
    </r>
  </si>
  <si>
    <t>% solids</t>
  </si>
  <si>
    <t xml:space="preserve">mill at </t>
  </si>
  <si>
    <t>min in</t>
  </si>
  <si>
    <t>kg for</t>
  </si>
  <si>
    <t>Grind:</t>
  </si>
  <si>
    <t>Cyanide Purity:</t>
  </si>
  <si>
    <t>Target Bottle Weight:</t>
  </si>
  <si>
    <t>maintained</t>
  </si>
  <si>
    <t>Cyanide Concentration:</t>
  </si>
  <si>
    <t>mL</t>
  </si>
  <si>
    <t>Solution Volume:</t>
  </si>
  <si>
    <t>g/t</t>
  </si>
  <si>
    <r>
      <t>Pb(NO</t>
    </r>
    <r>
      <rPr>
        <b/>
        <vertAlign val="subscript"/>
        <sz val="12"/>
        <color indexed="8"/>
        <rFont val="Times New Roman"/>
        <family val="1"/>
      </rPr>
      <t>3</t>
    </r>
    <r>
      <rPr>
        <b/>
        <sz val="12"/>
        <color indexed="8"/>
        <rFont val="Times New Roman"/>
        <family val="1"/>
      </rPr>
      <t>)</t>
    </r>
    <r>
      <rPr>
        <b/>
        <vertAlign val="subscript"/>
        <sz val="12"/>
        <color indexed="8"/>
        <rFont val="Times New Roman"/>
        <family val="1"/>
      </rPr>
      <t>2</t>
    </r>
    <r>
      <rPr>
        <b/>
        <sz val="12"/>
        <color indexed="8"/>
        <rFont val="Times New Roman"/>
        <family val="1"/>
      </rPr>
      <t xml:space="preserve"> Concentration:</t>
    </r>
  </si>
  <si>
    <t>solids</t>
  </si>
  <si>
    <t>Pulp Density:</t>
  </si>
  <si>
    <t>maintained with lime as required.</t>
  </si>
  <si>
    <t>10.5 - 11</t>
  </si>
  <si>
    <t>pH Range:</t>
  </si>
  <si>
    <t xml:space="preserve">Feed: </t>
  </si>
  <si>
    <t>Procedure:</t>
  </si>
  <si>
    <t xml:space="preserve">Purpose:               </t>
  </si>
  <si>
    <t>Sample ID:</t>
  </si>
  <si>
    <t>N</t>
  </si>
  <si>
    <t>Y</t>
  </si>
  <si>
    <t>Date:</t>
  </si>
  <si>
    <t xml:space="preserve">Project: </t>
  </si>
  <si>
    <t>Test ID:</t>
  </si>
  <si>
    <t>14196-002</t>
  </si>
  <si>
    <t>CN-1</t>
  </si>
  <si>
    <t>Au</t>
  </si>
  <si>
    <t>Ag</t>
  </si>
  <si>
    <t>To evaluate gold extraction by cyanide leaching.</t>
  </si>
  <si>
    <t>The ground feed sample was pulped to 40% solids. The pulp was brought to a pH range of 10.5-11 with lime. Then, 0.5 g/L of cyanide was added and the pulp was agitated. NaCN, pH and DO were monitored over the duration of the test. Intermittent solution samples were removed for Au and Ag assay. At 48h, the termination of the test, the pulp was filtered and the residue washed with fresh water. The final leach solution and the residue were submitted for Au and Ag analysis.</t>
  </si>
  <si>
    <t>GR-1(BS-3A13-03) Gravity Tails</t>
  </si>
  <si>
    <t>Summary of Cyanide Bottle Roll Tests</t>
  </si>
  <si>
    <t>Reagent Consumption kg/t of</t>
  </si>
  <si>
    <t>Extraction/Recovery, %</t>
  </si>
  <si>
    <t>Residue Grade</t>
  </si>
  <si>
    <t>Head Grade Calc</t>
  </si>
  <si>
    <t>g/t Au</t>
  </si>
  <si>
    <t>Au total, g/t</t>
  </si>
  <si>
    <t xml:space="preserve">Gravity </t>
  </si>
  <si>
    <t>CN-1, BS-3A13-03,Gravity tail, 75 µm</t>
  </si>
  <si>
    <t>CN-2, BS-3A13-02,Gravity tail, 75 µm</t>
  </si>
  <si>
    <t>CN-3, BS-3A13-01,Gravity tail, 75 µm</t>
  </si>
  <si>
    <t>Au Rec., %</t>
  </si>
  <si>
    <t>Conc.</t>
  </si>
  <si>
    <t>Tail</t>
  </si>
  <si>
    <t>Sample</t>
  </si>
  <si>
    <t>BS-3A13-03</t>
  </si>
  <si>
    <t>BS-3A13-02</t>
  </si>
  <si>
    <t>BS-3A13-01</t>
  </si>
  <si>
    <t>GR-1</t>
  </si>
  <si>
    <t>GR-2</t>
  </si>
  <si>
    <t>GR-3</t>
  </si>
  <si>
    <t>CN-2</t>
  </si>
  <si>
    <t>CN-3</t>
  </si>
  <si>
    <t xml:space="preserve">Gr-tail CN </t>
  </si>
  <si>
    <t>Comb Gr &amp; Gr-tail CN</t>
  </si>
  <si>
    <t>#2 Rod</t>
  </si>
  <si>
    <t>GR-2(BS-3A13-02) Gravity Tails</t>
  </si>
  <si>
    <t>GR-3(BS-3A13-01) Gravity Tails</t>
  </si>
</sst>
</file>

<file path=xl/styles.xml><?xml version="1.0" encoding="utf-8"?>
<styleSheet xmlns="http://schemas.openxmlformats.org/spreadsheetml/2006/main">
  <numFmts count="14">
    <numFmt numFmtId="164" formatCode="0.0"/>
    <numFmt numFmtId="165" formatCode="_(* #,##0.00_);_(* \(#,##0.00\);_(* &quot;-&quot;??_);_(@_)"/>
    <numFmt numFmtId="166" formatCode="0.000"/>
    <numFmt numFmtId="167" formatCode="0.0%"/>
    <numFmt numFmtId="168" formatCode="0.00\ &quot;g&quot;"/>
    <numFmt numFmtId="169" formatCode="0.00\ &quot;g/L&quot;"/>
    <numFmt numFmtId="170" formatCode="0.0000"/>
    <numFmt numFmtId="171" formatCode="&quot;LR-&quot;0"/>
    <numFmt numFmtId="172" formatCode="[$-409]mmmm\ d\,\ yyyy;@"/>
    <numFmt numFmtId="173" formatCode="0.000;[Red]\-0.000"/>
    <numFmt numFmtId="174" formatCode="0.00%;[Red]\-0.00%"/>
    <numFmt numFmtId="175" formatCode="&quot;$&quot;#,##0\ ;\(&quot;$&quot;#,##0\)"/>
    <numFmt numFmtId="176" formatCode="[&lt;100]0.0;[&gt;=100]\ 0;General"/>
    <numFmt numFmtId="177" formatCode="\&lt;0.\3"/>
  </numFmts>
  <fonts count="28">
    <font>
      <sz val="10"/>
      <name val="Arial"/>
    </font>
    <font>
      <sz val="12"/>
      <name val="Tms Rmn"/>
    </font>
    <font>
      <sz val="12"/>
      <color indexed="8"/>
      <name val="Times New Roman"/>
      <family val="1"/>
    </font>
    <font>
      <b/>
      <sz val="12"/>
      <color indexed="8"/>
      <name val="Times New Roman"/>
      <family val="1"/>
    </font>
    <font>
      <sz val="10"/>
      <name val="Arial"/>
      <family val="2"/>
    </font>
    <font>
      <b/>
      <sz val="10"/>
      <color indexed="8"/>
      <name val="Times New Roman"/>
      <family val="1"/>
    </font>
    <font>
      <sz val="10"/>
      <color indexed="8"/>
      <name val="Times New Roman"/>
      <family val="1"/>
    </font>
    <font>
      <b/>
      <u/>
      <sz val="12"/>
      <color indexed="8"/>
      <name val="Times New Roman"/>
      <family val="1"/>
    </font>
    <font>
      <vertAlign val="subscript"/>
      <sz val="12"/>
      <color indexed="8"/>
      <name val="Times New Roman"/>
      <family val="1"/>
    </font>
    <font>
      <sz val="9"/>
      <color indexed="8"/>
      <name val="Times New Roman"/>
      <family val="1"/>
    </font>
    <font>
      <b/>
      <vertAlign val="subscript"/>
      <sz val="12"/>
      <color indexed="8"/>
      <name val="Times New Roman"/>
      <family val="1"/>
    </font>
    <font>
      <strike/>
      <sz val="12"/>
      <color indexed="8"/>
      <name val="Times New Roman"/>
      <family val="1"/>
    </font>
    <font>
      <b/>
      <shadow/>
      <sz val="12"/>
      <color indexed="8"/>
      <name val="Times New Roman"/>
      <family val="1"/>
    </font>
    <font>
      <sz val="12"/>
      <name val="Impact"/>
      <family val="2"/>
    </font>
    <font>
      <b/>
      <sz val="10"/>
      <color indexed="9"/>
      <name val="Arial"/>
      <family val="2"/>
    </font>
    <font>
      <sz val="16"/>
      <color indexed="9"/>
      <name val="Impact"/>
      <family val="2"/>
    </font>
    <font>
      <b/>
      <sz val="14"/>
      <color indexed="18"/>
      <name val="Impact"/>
      <family val="2"/>
    </font>
    <font>
      <sz val="10"/>
      <name val="Arial Rounded MT Bold"/>
    </font>
    <font>
      <sz val="10"/>
      <color indexed="8"/>
      <name val="Arial"/>
      <family val="2"/>
    </font>
    <font>
      <sz val="10"/>
      <color indexed="17"/>
      <name val="Arial"/>
      <family val="2"/>
    </font>
    <font>
      <b/>
      <i/>
      <u/>
      <sz val="10"/>
      <color indexed="10"/>
      <name val="Arial"/>
      <family val="2"/>
    </font>
    <font>
      <b/>
      <i/>
      <sz val="10"/>
      <color indexed="52"/>
      <name val="Arial"/>
      <family val="2"/>
    </font>
    <font>
      <b/>
      <sz val="10"/>
      <color indexed="10"/>
      <name val="Arial"/>
      <family val="2"/>
    </font>
    <font>
      <b/>
      <sz val="10"/>
      <color indexed="53"/>
      <name val="Arial"/>
      <family val="2"/>
    </font>
    <font>
      <sz val="8"/>
      <color indexed="8"/>
      <name val="Tahoma"/>
      <family val="2"/>
    </font>
    <font>
      <sz val="8"/>
      <name val="Arial"/>
      <family val="2"/>
    </font>
    <font>
      <b/>
      <sz val="10"/>
      <name val="Arial"/>
      <family val="2"/>
    </font>
    <font>
      <sz val="10"/>
      <color indexed="12"/>
      <name val="Arial"/>
      <family val="2"/>
    </font>
  </fonts>
  <fills count="16">
    <fill>
      <patternFill patternType="none"/>
    </fill>
    <fill>
      <patternFill patternType="gray125"/>
    </fill>
    <fill>
      <patternFill patternType="solid">
        <fgColor indexed="42"/>
      </patternFill>
    </fill>
    <fill>
      <patternFill patternType="solid">
        <fgColor indexed="45"/>
      </patternFill>
    </fill>
    <fill>
      <patternFill patternType="solid">
        <fgColor indexed="41"/>
      </patternFill>
    </fill>
    <fill>
      <patternFill patternType="solid">
        <fgColor indexed="22"/>
      </patternFill>
    </fill>
    <fill>
      <patternFill patternType="solid">
        <fgColor indexed="48"/>
      </patternFill>
    </fill>
    <fill>
      <patternFill patternType="solid">
        <fgColor indexed="44"/>
      </patternFill>
    </fill>
    <fill>
      <patternFill patternType="solid">
        <fgColor indexed="18"/>
        <bgColor indexed="18"/>
      </patternFill>
    </fill>
    <fill>
      <patternFill patternType="solid">
        <fgColor indexed="9"/>
      </patternFill>
    </fill>
    <fill>
      <patternFill patternType="solid">
        <fgColor indexed="12"/>
        <bgColor indexed="9"/>
      </patternFill>
    </fill>
    <fill>
      <patternFill patternType="solid">
        <fgColor indexed="10"/>
      </patternFill>
    </fill>
    <fill>
      <patternFill patternType="solid">
        <fgColor indexed="55"/>
      </patternFill>
    </fill>
    <fill>
      <patternFill patternType="lightTrellis">
        <fgColor indexed="22"/>
        <bgColor indexed="22"/>
      </patternFill>
    </fill>
    <fill>
      <patternFill patternType="solid">
        <fgColor indexed="34"/>
      </patternFill>
    </fill>
    <fill>
      <patternFill patternType="solid">
        <fgColor indexed="53"/>
      </patternFill>
    </fill>
  </fills>
  <borders count="60">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12"/>
      </top>
      <bottom style="thin">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hair">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s>
  <cellStyleXfs count="51">
    <xf numFmtId="0" fontId="0" fillId="0" borderId="0"/>
    <xf numFmtId="165" fontId="4" fillId="0" borderId="0" applyFont="0" applyFill="0" applyBorder="0" applyAlignment="0" applyProtection="0"/>
    <xf numFmtId="0" fontId="1" fillId="0" borderId="0" applyFill="0" applyBorder="0" applyAlignment="0" applyProtection="0"/>
    <xf numFmtId="0" fontId="1" fillId="0" borderId="0" applyFill="0" applyBorder="0" applyAlignment="0" applyProtection="0"/>
    <xf numFmtId="0" fontId="4" fillId="2" borderId="43"/>
    <xf numFmtId="0" fontId="4" fillId="3" borderId="43"/>
    <xf numFmtId="0" fontId="4" fillId="4" borderId="43"/>
    <xf numFmtId="0" fontId="13" fillId="5" borderId="43">
      <alignment horizontal="left" vertical="center" wrapText="1"/>
    </xf>
    <xf numFmtId="0" fontId="14" fillId="6" borderId="43">
      <alignment horizontal="center" textRotation="90"/>
    </xf>
    <xf numFmtId="0" fontId="4" fillId="7" borderId="43">
      <alignment horizontal="center" vertical="center"/>
    </xf>
    <xf numFmtId="166" fontId="4" fillId="7" borderId="43">
      <alignment horizontal="right" vertical="center"/>
    </xf>
    <xf numFmtId="10" fontId="4" fillId="7" borderId="43">
      <alignment horizontal="right" vertical="center"/>
    </xf>
    <xf numFmtId="0" fontId="15" fillId="8" borderId="44">
      <alignment horizontal="centerContinuous" vertical="center"/>
    </xf>
    <xf numFmtId="0" fontId="14" fillId="6" borderId="44">
      <alignment horizontal="center" vertical="center" wrapText="1"/>
    </xf>
    <xf numFmtId="0" fontId="16" fillId="9" borderId="44">
      <alignment horizontal="centerContinuous" vertical="center" wrapText="1"/>
    </xf>
    <xf numFmtId="0" fontId="17" fillId="10" borderId="44">
      <alignment horizontal="center" vertical="center" wrapText="1"/>
    </xf>
    <xf numFmtId="173" fontId="18" fillId="5" borderId="43"/>
    <xf numFmtId="166" fontId="18" fillId="5" borderId="43"/>
    <xf numFmtId="0" fontId="18" fillId="5" borderId="43">
      <alignment horizontal="left"/>
    </xf>
    <xf numFmtId="166" fontId="19" fillId="5" borderId="43"/>
    <xf numFmtId="166" fontId="19" fillId="0" borderId="43"/>
    <xf numFmtId="10" fontId="18" fillId="5" borderId="43"/>
    <xf numFmtId="167" fontId="19" fillId="0" borderId="0"/>
    <xf numFmtId="167" fontId="20" fillId="0" borderId="0"/>
    <xf numFmtId="174" fontId="18" fillId="5" borderId="43"/>
    <xf numFmtId="167" fontId="21" fillId="0" borderId="0"/>
    <xf numFmtId="166" fontId="20" fillId="5" borderId="43"/>
    <xf numFmtId="166" fontId="20" fillId="0" borderId="43"/>
    <xf numFmtId="166" fontId="21" fillId="5" borderId="43"/>
    <xf numFmtId="166" fontId="21" fillId="0" borderId="43"/>
    <xf numFmtId="10" fontId="4" fillId="4" borderId="43" applyBorder="0">
      <alignment horizontal="right" vertical="center"/>
    </xf>
    <xf numFmtId="0" fontId="4" fillId="11" borderId="43">
      <alignment vertical="top" wrapText="1"/>
    </xf>
    <xf numFmtId="10" fontId="4" fillId="12" borderId="43" applyFont="0" applyAlignment="0" applyProtection="0"/>
    <xf numFmtId="166" fontId="4" fillId="12" borderId="43" applyFont="0" applyAlignment="0" applyProtection="0"/>
    <xf numFmtId="10" fontId="19" fillId="0" borderId="43" applyAlignment="0" applyProtection="0"/>
    <xf numFmtId="166" fontId="19" fillId="0" borderId="43" applyAlignment="0" applyProtection="0"/>
    <xf numFmtId="10" fontId="22" fillId="0" borderId="43" applyAlignment="0" applyProtection="0"/>
    <xf numFmtId="166" fontId="22" fillId="0" borderId="43" applyAlignment="0" applyProtection="0"/>
    <xf numFmtId="10" fontId="23" fillId="0" borderId="43" applyAlignment="0" applyProtection="0"/>
    <xf numFmtId="166" fontId="23" fillId="0" borderId="43" applyAlignment="0" applyProtection="0"/>
    <xf numFmtId="0" fontId="24" fillId="13" borderId="43">
      <alignment horizontal="left"/>
    </xf>
    <xf numFmtId="1" fontId="4" fillId="0" borderId="43" applyNumberFormat="0" applyFont="0" applyBorder="0" applyAlignment="0" applyProtection="0">
      <alignment horizontal="center"/>
      <protection locked="0"/>
    </xf>
    <xf numFmtId="1" fontId="4" fillId="14" borderId="43" applyNumberFormat="0" applyFont="0" applyBorder="0" applyAlignment="0" applyProtection="0">
      <alignment horizontal="center"/>
      <protection locked="0"/>
    </xf>
    <xf numFmtId="1" fontId="4" fillId="5" borderId="43" applyNumberFormat="0" applyFont="0" applyAlignment="0" applyProtection="0">
      <alignment horizontal="center"/>
      <protection locked="0"/>
    </xf>
    <xf numFmtId="1" fontId="4" fillId="15" borderId="43" applyNumberFormat="0" applyFont="0" applyBorder="0" applyAlignment="0" applyProtection="0">
      <alignment horizontal="center"/>
      <protection locked="0"/>
    </xf>
    <xf numFmtId="3" fontId="25" fillId="0" borderId="0" applyFont="0" applyFill="0" applyBorder="0" applyAlignment="0" applyProtection="0"/>
    <xf numFmtId="175" fontId="25" fillId="0" borderId="0" applyFont="0" applyFill="0" applyBorder="0" applyAlignment="0" applyProtection="0"/>
    <xf numFmtId="0" fontId="25" fillId="0" borderId="0" applyFont="0" applyFill="0" applyBorder="0" applyAlignment="0" applyProtection="0"/>
    <xf numFmtId="2" fontId="25" fillId="0" borderId="0" applyFont="0" applyFill="0" applyBorder="0" applyAlignment="0" applyProtection="0"/>
    <xf numFmtId="0" fontId="4" fillId="0" borderId="0">
      <alignment horizontal="left"/>
    </xf>
    <xf numFmtId="0" fontId="4" fillId="0" borderId="0">
      <alignment horizontal="right"/>
    </xf>
  </cellStyleXfs>
  <cellXfs count="266">
    <xf numFmtId="0" fontId="0" fillId="0" borderId="0" xfId="0"/>
    <xf numFmtId="0" fontId="2" fillId="0" borderId="0" xfId="2" applyFont="1" applyFill="1"/>
    <xf numFmtId="164" fontId="2" fillId="0" borderId="0" xfId="2" applyNumberFormat="1" applyFont="1" applyFill="1"/>
    <xf numFmtId="2" fontId="2" fillId="0" borderId="0" xfId="2" applyNumberFormat="1" applyFont="1" applyFill="1"/>
    <xf numFmtId="3" fontId="2" fillId="0" borderId="0" xfId="2" applyNumberFormat="1" applyFont="1" applyFill="1"/>
    <xf numFmtId="0" fontId="3" fillId="0" borderId="0" xfId="0" applyFont="1" applyFill="1" applyBorder="1" applyAlignment="1">
      <alignment horizontal="center"/>
    </xf>
    <xf numFmtId="0" fontId="2" fillId="0" borderId="0" xfId="2" applyFont="1" applyFill="1" applyAlignment="1">
      <alignment horizontal="center" vertical="center" wrapText="1"/>
    </xf>
    <xf numFmtId="0" fontId="2" fillId="0" borderId="0" xfId="2" applyFont="1" applyFill="1" applyBorder="1"/>
    <xf numFmtId="0" fontId="2" fillId="0" borderId="0" xfId="2" applyFont="1" applyFill="1" applyBorder="1" applyAlignment="1">
      <alignment horizontal="center"/>
    </xf>
    <xf numFmtId="0" fontId="2" fillId="0" borderId="0" xfId="3" applyFont="1" applyFill="1" applyBorder="1" applyAlignment="1">
      <alignment horizontal="center"/>
    </xf>
    <xf numFmtId="0" fontId="2" fillId="0" borderId="1" xfId="2" applyFont="1" applyFill="1" applyBorder="1"/>
    <xf numFmtId="2" fontId="2" fillId="0" borderId="2" xfId="3" applyNumberFormat="1" applyFont="1" applyFill="1" applyBorder="1" applyAlignment="1">
      <alignment horizontal="center"/>
    </xf>
    <xf numFmtId="1" fontId="2" fillId="0" borderId="2" xfId="3" applyNumberFormat="1" applyFont="1" applyFill="1" applyBorder="1" applyAlignment="1">
      <alignment horizontal="center"/>
    </xf>
    <xf numFmtId="0" fontId="2" fillId="0" borderId="3" xfId="3" applyFont="1" applyFill="1" applyBorder="1"/>
    <xf numFmtId="0" fontId="2" fillId="0" borderId="0" xfId="2" applyFont="1"/>
    <xf numFmtId="0" fontId="2" fillId="0" borderId="0" xfId="2" applyFont="1" applyAlignment="1">
      <alignment horizontal="center"/>
    </xf>
    <xf numFmtId="164" fontId="2" fillId="0" borderId="4" xfId="3" applyNumberFormat="1" applyFont="1" applyFill="1" applyBorder="1" applyAlignment="1">
      <alignment horizontal="center"/>
    </xf>
    <xf numFmtId="2" fontId="2" fillId="0" borderId="4" xfId="3" applyNumberFormat="1" applyFont="1" applyFill="1" applyBorder="1" applyAlignment="1">
      <alignment horizontal="center"/>
    </xf>
    <xf numFmtId="0" fontId="2" fillId="0" borderId="4" xfId="2" applyFont="1" applyFill="1" applyBorder="1" applyAlignment="1">
      <alignment horizontal="center"/>
    </xf>
    <xf numFmtId="2" fontId="2" fillId="0" borderId="5" xfId="3" applyNumberFormat="1" applyFont="1" applyFill="1" applyBorder="1" applyAlignment="1">
      <alignment horizontal="center"/>
    </xf>
    <xf numFmtId="0" fontId="2" fillId="0" borderId="2" xfId="3" applyFont="1" applyFill="1" applyBorder="1"/>
    <xf numFmtId="2" fontId="2" fillId="0" borderId="6" xfId="3" applyNumberFormat="1" applyFont="1" applyFill="1" applyBorder="1" applyAlignment="1">
      <alignment horizontal="centerContinuous"/>
    </xf>
    <xf numFmtId="164" fontId="2" fillId="0" borderId="7" xfId="3" applyNumberFormat="1" applyFont="1" applyFill="1" applyBorder="1" applyAlignment="1">
      <alignment horizontal="center"/>
    </xf>
    <xf numFmtId="164" fontId="2" fillId="0" borderId="8" xfId="3" applyNumberFormat="1" applyFont="1" applyFill="1" applyBorder="1" applyAlignment="1">
      <alignment horizontal="center"/>
    </xf>
    <xf numFmtId="2" fontId="2" fillId="0" borderId="8" xfId="3" applyNumberFormat="1" applyFont="1" applyFill="1" applyBorder="1" applyAlignment="1">
      <alignment horizontal="center"/>
    </xf>
    <xf numFmtId="0" fontId="2" fillId="0" borderId="8" xfId="3" applyFont="1" applyFill="1" applyBorder="1" applyAlignment="1">
      <alignment horizontal="center"/>
    </xf>
    <xf numFmtId="0" fontId="2" fillId="0" borderId="8" xfId="2" applyFont="1" applyFill="1" applyBorder="1" applyAlignment="1">
      <alignment horizontal="center"/>
    </xf>
    <xf numFmtId="3" fontId="2" fillId="0" borderId="8" xfId="1" applyNumberFormat="1" applyFont="1" applyFill="1" applyBorder="1" applyAlignment="1">
      <alignment horizontal="center"/>
    </xf>
    <xf numFmtId="0" fontId="2" fillId="0" borderId="8" xfId="3" applyFont="1" applyFill="1" applyBorder="1"/>
    <xf numFmtId="166" fontId="2" fillId="0" borderId="0" xfId="2" applyNumberFormat="1" applyFont="1" applyAlignment="1">
      <alignment horizontal="center"/>
    </xf>
    <xf numFmtId="164" fontId="2" fillId="0" borderId="9" xfId="3" applyNumberFormat="1" applyFont="1" applyFill="1" applyBorder="1" applyAlignment="1">
      <alignment horizontal="centerContinuous"/>
    </xf>
    <xf numFmtId="164" fontId="2" fillId="0" borderId="10" xfId="3" applyNumberFormat="1" applyFont="1" applyFill="1" applyBorder="1" applyAlignment="1">
      <alignment horizontal="center"/>
    </xf>
    <xf numFmtId="164" fontId="2" fillId="0" borderId="11" xfId="3" applyNumberFormat="1" applyFont="1" applyFill="1" applyBorder="1" applyAlignment="1">
      <alignment horizontal="center"/>
    </xf>
    <xf numFmtId="164" fontId="2" fillId="0" borderId="12" xfId="3" applyNumberFormat="1" applyFont="1" applyFill="1" applyBorder="1" applyAlignment="1">
      <alignment horizontal="center"/>
    </xf>
    <xf numFmtId="2" fontId="2" fillId="0" borderId="12" xfId="3" applyNumberFormat="1" applyFont="1" applyFill="1" applyBorder="1" applyAlignment="1">
      <alignment horizontal="center"/>
    </xf>
    <xf numFmtId="2" fontId="2" fillId="0" borderId="11" xfId="3" applyNumberFormat="1" applyFont="1" applyFill="1" applyBorder="1" applyAlignment="1">
      <alignment horizontal="center"/>
    </xf>
    <xf numFmtId="166" fontId="2" fillId="0" borderId="11" xfId="3" applyNumberFormat="1" applyFont="1" applyFill="1" applyBorder="1" applyAlignment="1">
      <alignment horizontal="center"/>
    </xf>
    <xf numFmtId="2" fontId="2" fillId="0" borderId="13" xfId="3" applyNumberFormat="1" applyFont="1" applyFill="1" applyBorder="1" applyAlignment="1">
      <alignment horizontal="center"/>
    </xf>
    <xf numFmtId="1" fontId="2" fillId="0" borderId="12" xfId="3" applyNumberFormat="1" applyFont="1" applyFill="1" applyBorder="1" applyAlignment="1">
      <alignment horizontal="center"/>
    </xf>
    <xf numFmtId="0" fontId="2" fillId="0" borderId="13" xfId="3" applyFont="1" applyFill="1" applyBorder="1"/>
    <xf numFmtId="164" fontId="2" fillId="0" borderId="14" xfId="3" applyNumberFormat="1" applyFont="1" applyFill="1" applyBorder="1" applyAlignment="1">
      <alignment horizontal="centerContinuous"/>
    </xf>
    <xf numFmtId="164" fontId="2" fillId="0" borderId="15" xfId="3" applyNumberFormat="1" applyFont="1" applyFill="1" applyBorder="1" applyAlignment="1">
      <alignment horizontal="center"/>
    </xf>
    <xf numFmtId="2" fontId="2" fillId="0" borderId="15" xfId="3" applyNumberFormat="1" applyFont="1" applyFill="1" applyBorder="1" applyAlignment="1">
      <alignment horizontal="center"/>
    </xf>
    <xf numFmtId="1" fontId="2" fillId="0" borderId="15" xfId="3" applyNumberFormat="1" applyFont="1" applyFill="1" applyBorder="1" applyAlignment="1">
      <alignment horizontal="center"/>
    </xf>
    <xf numFmtId="0" fontId="2" fillId="0" borderId="15" xfId="3" applyFont="1" applyFill="1" applyBorder="1"/>
    <xf numFmtId="164" fontId="2" fillId="0" borderId="16" xfId="3" applyNumberFormat="1" applyFont="1" applyFill="1" applyBorder="1" applyAlignment="1">
      <alignment horizontal="centerContinuous"/>
    </xf>
    <xf numFmtId="2" fontId="2" fillId="0" borderId="17" xfId="3" applyNumberFormat="1" applyFont="1" applyFill="1" applyBorder="1" applyAlignment="1">
      <alignment horizontal="center"/>
    </xf>
    <xf numFmtId="1" fontId="2" fillId="0" borderId="17" xfId="3" applyNumberFormat="1" applyFont="1" applyFill="1" applyBorder="1" applyAlignment="1">
      <alignment horizontal="center"/>
    </xf>
    <xf numFmtId="0" fontId="2" fillId="0" borderId="17" xfId="3" applyFont="1" applyFill="1" applyBorder="1"/>
    <xf numFmtId="1" fontId="3" fillId="0" borderId="18" xfId="3" applyNumberFormat="1" applyFont="1" applyFill="1" applyBorder="1" applyAlignment="1">
      <alignment horizontal="centerContinuous"/>
    </xf>
    <xf numFmtId="0" fontId="3" fillId="0" borderId="19" xfId="0" applyFont="1" applyFill="1" applyBorder="1" applyAlignment="1">
      <alignment horizontal="centerContinuous"/>
    </xf>
    <xf numFmtId="0" fontId="3" fillId="0" borderId="2" xfId="0" applyFont="1" applyFill="1" applyBorder="1" applyAlignment="1">
      <alignment horizontal="center"/>
    </xf>
    <xf numFmtId="1" fontId="3" fillId="0" borderId="2" xfId="3" applyNumberFormat="1" applyFont="1" applyFill="1" applyBorder="1" applyAlignment="1">
      <alignment horizontal="center"/>
    </xf>
    <xf numFmtId="0" fontId="3" fillId="0" borderId="3" xfId="0" applyFont="1" applyFill="1" applyBorder="1" applyAlignment="1">
      <alignment horizontal="center"/>
    </xf>
    <xf numFmtId="0" fontId="3" fillId="0" borderId="2" xfId="3" applyFont="1" applyFill="1" applyBorder="1" applyAlignment="1">
      <alignment horizontal="center"/>
    </xf>
    <xf numFmtId="0" fontId="3" fillId="0" borderId="20" xfId="3" applyFont="1" applyFill="1" applyBorder="1" applyAlignment="1">
      <alignment horizontal="center"/>
    </xf>
    <xf numFmtId="1" fontId="3" fillId="0" borderId="3" xfId="3" applyNumberFormat="1" applyFont="1" applyFill="1" applyBorder="1" applyAlignment="1">
      <alignment horizontal="center"/>
    </xf>
    <xf numFmtId="0" fontId="2" fillId="0" borderId="0" xfId="2" applyFont="1" applyFill="1" applyAlignment="1">
      <alignment horizontal="left"/>
    </xf>
    <xf numFmtId="0" fontId="2" fillId="0" borderId="0" xfId="3" applyFont="1" applyFill="1" applyBorder="1"/>
    <xf numFmtId="164" fontId="2" fillId="0" borderId="0" xfId="3" applyNumberFormat="1" applyFont="1" applyFill="1" applyBorder="1" applyAlignment="1"/>
    <xf numFmtId="0" fontId="3" fillId="0" borderId="0" xfId="2" applyFont="1" applyFill="1"/>
    <xf numFmtId="0" fontId="2" fillId="0" borderId="0" xfId="2" applyFont="1" applyFill="1" applyBorder="1" applyAlignment="1">
      <alignment horizontal="left" indent="1"/>
    </xf>
    <xf numFmtId="2" fontId="3" fillId="0" borderId="0" xfId="2" applyNumberFormat="1" applyFont="1" applyFill="1" applyBorder="1" applyAlignment="1">
      <alignment horizontal="center"/>
    </xf>
    <xf numFmtId="0" fontId="3" fillId="0" borderId="0" xfId="2" applyFont="1" applyFill="1" applyBorder="1" applyAlignment="1">
      <alignment horizontal="right"/>
    </xf>
    <xf numFmtId="0" fontId="3" fillId="0" borderId="0" xfId="2" applyFont="1" applyFill="1" applyBorder="1"/>
    <xf numFmtId="166" fontId="3" fillId="0" borderId="0" xfId="2" applyNumberFormat="1" applyFont="1" applyFill="1" applyBorder="1" applyAlignment="1">
      <alignment horizontal="center"/>
    </xf>
    <xf numFmtId="0" fontId="3" fillId="0" borderId="0" xfId="2" applyFont="1" applyFill="1" applyBorder="1" applyAlignment="1">
      <alignment horizontal="center"/>
    </xf>
    <xf numFmtId="1" fontId="5" fillId="0" borderId="0" xfId="0" applyNumberFormat="1" applyFont="1" applyFill="1" applyBorder="1" applyAlignment="1">
      <alignment horizontal="center"/>
    </xf>
    <xf numFmtId="1" fontId="3" fillId="0" borderId="0" xfId="2" applyNumberFormat="1" applyFont="1" applyFill="1" applyBorder="1" applyAlignment="1">
      <alignment horizontal="center"/>
    </xf>
    <xf numFmtId="164" fontId="3" fillId="0" borderId="0" xfId="2" applyNumberFormat="1" applyFont="1" applyFill="1" applyBorder="1" applyAlignment="1">
      <alignment horizontal="center"/>
    </xf>
    <xf numFmtId="2" fontId="3" fillId="0" borderId="24" xfId="2" applyNumberFormat="1" applyFont="1" applyFill="1" applyBorder="1" applyAlignment="1">
      <alignment horizontal="center" vertical="center"/>
    </xf>
    <xf numFmtId="2" fontId="3" fillId="0" borderId="22" xfId="2" applyNumberFormat="1" applyFont="1" applyFill="1" applyBorder="1" applyAlignment="1">
      <alignment horizontal="center" vertical="center"/>
    </xf>
    <xf numFmtId="2" fontId="3" fillId="0" borderId="21" xfId="2" applyNumberFormat="1" applyFont="1" applyFill="1" applyBorder="1" applyAlignment="1">
      <alignment horizontal="center" vertical="center"/>
    </xf>
    <xf numFmtId="2" fontId="3" fillId="0" borderId="24" xfId="2" applyNumberFormat="1" applyFont="1" applyFill="1" applyBorder="1" applyAlignment="1">
      <alignment horizontal="center"/>
    </xf>
    <xf numFmtId="2" fontId="3" fillId="0" borderId="21" xfId="2" applyNumberFormat="1" applyFont="1" applyFill="1" applyBorder="1" applyAlignment="1">
      <alignment horizontal="center"/>
    </xf>
    <xf numFmtId="0" fontId="3" fillId="0" borderId="3" xfId="2" applyFont="1" applyFill="1" applyBorder="1" applyAlignment="1">
      <alignment horizontal="center" vertical="center" wrapText="1"/>
    </xf>
    <xf numFmtId="2" fontId="3" fillId="0" borderId="24" xfId="2" applyNumberFormat="1" applyFont="1" applyFill="1" applyBorder="1" applyAlignment="1">
      <alignment horizontal="centerContinuous"/>
    </xf>
    <xf numFmtId="2" fontId="3" fillId="0" borderId="22" xfId="2" applyNumberFormat="1" applyFont="1" applyFill="1" applyBorder="1" applyAlignment="1">
      <alignment horizontal="center"/>
    </xf>
    <xf numFmtId="0" fontId="3" fillId="0" borderId="3" xfId="2" applyFont="1" applyFill="1" applyBorder="1" applyAlignment="1">
      <alignment horizontal="center"/>
    </xf>
    <xf numFmtId="0" fontId="2" fillId="0" borderId="0" xfId="2" applyFont="1" applyFill="1" applyAlignment="1">
      <alignment horizontal="center" vertical="center"/>
    </xf>
    <xf numFmtId="2" fontId="2" fillId="0" borderId="13" xfId="2" applyNumberFormat="1" applyFont="1" applyFill="1" applyBorder="1" applyAlignment="1">
      <alignment horizontal="center" vertical="center"/>
    </xf>
    <xf numFmtId="0" fontId="2" fillId="0" borderId="13" xfId="2" applyFont="1" applyFill="1" applyBorder="1" applyAlignment="1">
      <alignment horizontal="center" vertical="center"/>
    </xf>
    <xf numFmtId="164" fontId="2" fillId="0" borderId="13" xfId="2" applyNumberFormat="1" applyFont="1" applyFill="1" applyBorder="1" applyAlignment="1">
      <alignment horizontal="center" vertical="center"/>
    </xf>
    <xf numFmtId="0" fontId="6" fillId="0" borderId="25" xfId="0" applyFont="1" applyFill="1" applyBorder="1" applyAlignment="1">
      <alignment horizontal="center" vertical="center"/>
    </xf>
    <xf numFmtId="164" fontId="2" fillId="0" borderId="26" xfId="0" applyNumberFormat="1" applyFont="1" applyFill="1" applyBorder="1" applyAlignment="1">
      <alignment horizontal="center" vertical="center"/>
    </xf>
    <xf numFmtId="0" fontId="3" fillId="0" borderId="13" xfId="2" applyFont="1" applyFill="1" applyBorder="1" applyAlignment="1">
      <alignment horizontal="center" vertical="center"/>
    </xf>
    <xf numFmtId="164" fontId="2" fillId="0" borderId="2" xfId="2" applyNumberFormat="1" applyFont="1" applyFill="1" applyBorder="1" applyAlignment="1">
      <alignment horizontal="center" vertical="center"/>
    </xf>
    <xf numFmtId="2" fontId="2" fillId="0" borderId="27" xfId="2" applyNumberFormat="1" applyFont="1" applyFill="1" applyBorder="1" applyAlignment="1">
      <alignment horizontal="center" vertical="center"/>
    </xf>
    <xf numFmtId="2" fontId="2" fillId="0" borderId="19" xfId="2" applyNumberFormat="1" applyFont="1" applyFill="1" applyBorder="1" applyAlignment="1">
      <alignment horizontal="center" vertical="center"/>
    </xf>
    <xf numFmtId="2" fontId="2" fillId="0" borderId="25" xfId="2" applyNumberFormat="1" applyFont="1" applyFill="1" applyBorder="1" applyAlignment="1">
      <alignment horizontal="center" vertical="center"/>
    </xf>
    <xf numFmtId="49" fontId="2" fillId="0" borderId="15" xfId="2" applyNumberFormat="1" applyFont="1" applyFill="1" applyBorder="1" applyAlignment="1">
      <alignment horizontal="center" vertical="center"/>
    </xf>
    <xf numFmtId="0" fontId="2" fillId="0" borderId="0" xfId="2" applyFont="1" applyFill="1" applyBorder="1" applyAlignment="1">
      <alignment horizontal="center" vertical="center"/>
    </xf>
    <xf numFmtId="1" fontId="2" fillId="0" borderId="15" xfId="2" applyNumberFormat="1" applyFont="1" applyFill="1" applyBorder="1" applyAlignment="1">
      <alignment horizontal="center" vertical="center"/>
    </xf>
    <xf numFmtId="3" fontId="2" fillId="0" borderId="15" xfId="1" applyNumberFormat="1" applyFont="1" applyFill="1" applyBorder="1" applyAlignment="1">
      <alignment horizontal="center"/>
    </xf>
    <xf numFmtId="2" fontId="2" fillId="0" borderId="15" xfId="2" applyNumberFormat="1" applyFont="1" applyFill="1" applyBorder="1" applyAlignment="1">
      <alignment horizontal="center" vertical="center"/>
    </xf>
    <xf numFmtId="2" fontId="2" fillId="0" borderId="11" xfId="2" applyNumberFormat="1" applyFont="1" applyFill="1" applyBorder="1" applyAlignment="1">
      <alignment horizontal="center" vertical="center"/>
    </xf>
    <xf numFmtId="2" fontId="2" fillId="0" borderId="28" xfId="2" applyNumberFormat="1" applyFont="1" applyFill="1" applyBorder="1" applyAlignment="1">
      <alignment horizontal="center" vertical="center"/>
    </xf>
    <xf numFmtId="1" fontId="2" fillId="0" borderId="10" xfId="2" applyNumberFormat="1" applyFont="1" applyFill="1" applyBorder="1" applyAlignment="1">
      <alignment horizontal="center" vertical="center"/>
    </xf>
    <xf numFmtId="164" fontId="2" fillId="0" borderId="11" xfId="2" applyNumberFormat="1" applyFont="1" applyFill="1" applyBorder="1" applyAlignment="1">
      <alignment horizontal="center" vertical="center"/>
    </xf>
    <xf numFmtId="164" fontId="2" fillId="0" borderId="10" xfId="2" applyNumberFormat="1" applyFont="1" applyFill="1" applyBorder="1" applyAlignment="1">
      <alignment horizontal="center" vertical="center"/>
    </xf>
    <xf numFmtId="2" fontId="2" fillId="0" borderId="29" xfId="2" applyNumberFormat="1" applyFont="1" applyFill="1" applyBorder="1" applyAlignment="1">
      <alignment horizontal="center" vertical="center"/>
    </xf>
    <xf numFmtId="2" fontId="2" fillId="0" borderId="30" xfId="2" applyNumberFormat="1" applyFont="1" applyFill="1" applyBorder="1" applyAlignment="1">
      <alignment horizontal="center" vertical="center"/>
    </xf>
    <xf numFmtId="2" fontId="2" fillId="0" borderId="10" xfId="2" applyNumberFormat="1" applyFont="1" applyFill="1" applyBorder="1" applyAlignment="1">
      <alignment horizontal="center" vertical="center"/>
    </xf>
    <xf numFmtId="0" fontId="2" fillId="0" borderId="15" xfId="2" applyNumberFormat="1" applyFont="1" applyFill="1" applyBorder="1" applyAlignment="1">
      <alignment horizontal="center" vertical="center"/>
    </xf>
    <xf numFmtId="2" fontId="2" fillId="0" borderId="31" xfId="2" applyNumberFormat="1" applyFont="1" applyFill="1" applyBorder="1" applyAlignment="1">
      <alignment horizontal="center" vertical="center"/>
    </xf>
    <xf numFmtId="0" fontId="2" fillId="0" borderId="15" xfId="2" quotePrefix="1" applyNumberFormat="1" applyFont="1" applyFill="1" applyBorder="1" applyAlignment="1">
      <alignment horizontal="center" vertical="center"/>
    </xf>
    <xf numFmtId="0" fontId="7" fillId="0" borderId="17"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33" xfId="2" applyFont="1" applyFill="1" applyBorder="1" applyAlignment="1">
      <alignment horizontal="center" vertical="center"/>
    </xf>
    <xf numFmtId="164" fontId="2" fillId="0" borderId="17" xfId="2" applyNumberFormat="1" applyFont="1" applyFill="1" applyBorder="1" applyAlignment="1">
      <alignment horizontal="center" vertical="center"/>
    </xf>
    <xf numFmtId="0" fontId="2" fillId="0" borderId="34" xfId="2" applyFont="1" applyFill="1" applyBorder="1" applyAlignment="1">
      <alignment horizontal="center" vertical="center"/>
    </xf>
    <xf numFmtId="2" fontId="2" fillId="0" borderId="35" xfId="2" applyNumberFormat="1" applyFont="1" applyFill="1" applyBorder="1" applyAlignment="1">
      <alignment horizontal="center" vertical="center"/>
    </xf>
    <xf numFmtId="166" fontId="2" fillId="0" borderId="34" xfId="2" applyNumberFormat="1" applyFont="1" applyFill="1" applyBorder="1" applyAlignment="1">
      <alignment horizontal="center" vertical="center"/>
    </xf>
    <xf numFmtId="0" fontId="2" fillId="0" borderId="27" xfId="2" applyFont="1" applyFill="1" applyBorder="1" applyAlignment="1">
      <alignment horizontal="center" vertical="center" wrapText="1"/>
    </xf>
    <xf numFmtId="0" fontId="2" fillId="0" borderId="27" xfId="2" applyFont="1" applyFill="1" applyBorder="1" applyAlignment="1">
      <alignment horizontal="centerContinuous"/>
    </xf>
    <xf numFmtId="0" fontId="2" fillId="0" borderId="37" xfId="2" applyFont="1" applyFill="1" applyBorder="1" applyAlignment="1">
      <alignment horizontal="center"/>
    </xf>
    <xf numFmtId="0" fontId="2" fillId="0" borderId="27" xfId="2" applyFont="1" applyFill="1" applyBorder="1" applyAlignment="1">
      <alignment horizontal="center"/>
    </xf>
    <xf numFmtId="0" fontId="2" fillId="0" borderId="0" xfId="2" applyFont="1" applyFill="1" applyAlignment="1">
      <alignment horizontal="center"/>
    </xf>
    <xf numFmtId="0" fontId="2" fillId="0" borderId="39" xfId="2" applyFont="1" applyFill="1" applyBorder="1" applyAlignment="1">
      <alignment horizontal="center" vertical="center" wrapText="1"/>
    </xf>
    <xf numFmtId="166" fontId="2" fillId="0" borderId="0" xfId="2" applyNumberFormat="1" applyFont="1" applyFill="1" applyAlignment="1">
      <alignment horizontal="center"/>
    </xf>
    <xf numFmtId="0" fontId="7" fillId="0" borderId="0" xfId="2" applyFont="1" applyFill="1" applyBorder="1" applyAlignment="1">
      <alignment horizontal="center"/>
    </xf>
    <xf numFmtId="1" fontId="2" fillId="0" borderId="0" xfId="2" applyNumberFormat="1" applyFont="1" applyFill="1" applyBorder="1" applyAlignment="1">
      <alignment horizontal="center" vertical="center"/>
    </xf>
    <xf numFmtId="0" fontId="2" fillId="0" borderId="0" xfId="2" applyFont="1" applyFill="1" applyAlignment="1">
      <alignment horizontal="right"/>
    </xf>
    <xf numFmtId="0" fontId="2" fillId="0" borderId="0" xfId="2" applyFont="1" applyFill="1" applyBorder="1" applyAlignment="1">
      <alignment horizontal="right"/>
    </xf>
    <xf numFmtId="0" fontId="2" fillId="0" borderId="0" xfId="0" applyFont="1" applyFill="1" applyBorder="1" applyAlignment="1">
      <alignment horizontal="center"/>
    </xf>
    <xf numFmtId="3" fontId="2" fillId="0" borderId="0" xfId="1" applyNumberFormat="1" applyFont="1" applyFill="1" applyBorder="1" applyAlignment="1">
      <alignment horizontal="right"/>
    </xf>
    <xf numFmtId="164" fontId="7" fillId="0" borderId="0" xfId="2" applyNumberFormat="1" applyFont="1" applyFill="1" applyBorder="1" applyAlignment="1">
      <alignment horizontal="center"/>
    </xf>
    <xf numFmtId="3" fontId="7" fillId="0" borderId="0" xfId="2" applyNumberFormat="1" applyFont="1" applyFill="1" applyBorder="1" applyAlignment="1">
      <alignment horizontal="center"/>
    </xf>
    <xf numFmtId="167" fontId="2" fillId="0" borderId="0" xfId="2" applyNumberFormat="1" applyFont="1" applyFill="1" applyAlignment="1">
      <alignment horizontal="right"/>
    </xf>
    <xf numFmtId="0" fontId="3" fillId="0" borderId="0" xfId="2" applyFont="1" applyFill="1" applyAlignment="1">
      <alignment horizontal="right"/>
    </xf>
    <xf numFmtId="168" fontId="2" fillId="0" borderId="0" xfId="2" applyNumberFormat="1" applyFont="1" applyFill="1" applyAlignment="1">
      <alignment horizontal="right"/>
    </xf>
    <xf numFmtId="0" fontId="2" fillId="0" borderId="0" xfId="2" applyFont="1" applyFill="1" applyBorder="1" applyAlignment="1">
      <alignment horizontal="right" vertical="center"/>
    </xf>
    <xf numFmtId="0" fontId="2" fillId="0" borderId="0" xfId="2" applyFont="1" applyFill="1" applyBorder="1" applyAlignment="1">
      <alignment horizontal="left"/>
    </xf>
    <xf numFmtId="0" fontId="2" fillId="0" borderId="0" xfId="2" applyFont="1" applyFill="1" applyBorder="1" applyAlignment="1">
      <alignment vertical="center" wrapText="1"/>
    </xf>
    <xf numFmtId="0" fontId="2" fillId="0" borderId="0" xfId="2" applyFont="1" applyFill="1" applyBorder="1" applyAlignment="1">
      <alignment vertical="center"/>
    </xf>
    <xf numFmtId="169" fontId="2" fillId="0" borderId="0" xfId="1" applyNumberFormat="1" applyFont="1" applyFill="1" applyBorder="1" applyAlignment="1">
      <alignment horizontal="right"/>
    </xf>
    <xf numFmtId="0" fontId="3" fillId="0" borderId="0" xfId="2" applyFont="1" applyFill="1" applyBorder="1" applyAlignment="1">
      <alignment horizontal="right" vertical="center"/>
    </xf>
    <xf numFmtId="9" fontId="2" fillId="0" borderId="0" xfId="2" applyNumberFormat="1" applyFont="1" applyFill="1" applyBorder="1" applyAlignment="1">
      <alignment horizontal="left" vertical="top" wrapText="1"/>
    </xf>
    <xf numFmtId="170" fontId="2" fillId="0" borderId="0" xfId="2" applyNumberFormat="1" applyFont="1" applyFill="1" applyAlignment="1">
      <alignment horizontal="right"/>
    </xf>
    <xf numFmtId="9" fontId="2" fillId="0" borderId="0" xfId="1" applyNumberFormat="1" applyFont="1" applyFill="1" applyBorder="1" applyAlignment="1">
      <alignment horizontal="right"/>
    </xf>
    <xf numFmtId="164" fontId="2" fillId="0" borderId="0" xfId="2" applyNumberFormat="1" applyFont="1" applyFill="1" applyAlignment="1">
      <alignment horizontal="center"/>
    </xf>
    <xf numFmtId="0" fontId="2" fillId="0" borderId="0" xfId="2" applyFont="1" applyFill="1" applyBorder="1" applyAlignment="1"/>
    <xf numFmtId="0" fontId="11" fillId="0" borderId="0" xfId="2" applyFont="1" applyFill="1" applyBorder="1" applyAlignment="1">
      <alignment horizontal="left" indent="1"/>
    </xf>
    <xf numFmtId="0" fontId="2" fillId="0" borderId="0" xfId="2" applyNumberFormat="1" applyFont="1" applyFill="1" applyBorder="1" applyAlignment="1">
      <alignment horizontal="center"/>
    </xf>
    <xf numFmtId="0" fontId="2" fillId="0" borderId="0" xfId="2" applyFont="1" applyFill="1" applyAlignment="1">
      <alignment vertical="top" wrapText="1"/>
    </xf>
    <xf numFmtId="166" fontId="2" fillId="0" borderId="0" xfId="2" applyNumberFormat="1" applyFont="1" applyFill="1" applyAlignment="1">
      <alignment horizontal="center" vertical="top" wrapText="1"/>
    </xf>
    <xf numFmtId="0" fontId="2" fillId="0" borderId="0" xfId="2" applyFont="1" applyFill="1" applyBorder="1" applyAlignment="1">
      <alignment horizontal="centerContinuous" vertical="top" wrapText="1"/>
    </xf>
    <xf numFmtId="0" fontId="3" fillId="0" borderId="0" xfId="2" applyFont="1" applyFill="1" applyBorder="1" applyAlignment="1">
      <alignment vertical="top" wrapText="1"/>
    </xf>
    <xf numFmtId="0" fontId="3" fillId="0" borderId="0" xfId="2" applyFont="1" applyFill="1" applyBorder="1" applyAlignment="1">
      <alignment vertical="top"/>
    </xf>
    <xf numFmtId="0" fontId="3" fillId="0" borderId="0" xfId="2" applyFont="1" applyFill="1" applyAlignment="1">
      <alignment horizontal="left"/>
    </xf>
    <xf numFmtId="171" fontId="3" fillId="0" borderId="0" xfId="2" applyNumberFormat="1" applyFont="1" applyFill="1" applyBorder="1" applyAlignment="1" applyProtection="1">
      <alignment horizontal="right"/>
      <protection locked="0"/>
    </xf>
    <xf numFmtId="0" fontId="12" fillId="0" borderId="0" xfId="2" applyFont="1" applyFill="1" applyBorder="1"/>
    <xf numFmtId="0" fontId="3" fillId="0" borderId="0" xfId="2" applyFont="1" applyFill="1" applyBorder="1" applyAlignment="1" applyProtection="1">
      <alignment horizontal="center"/>
      <protection locked="0"/>
    </xf>
    <xf numFmtId="15" fontId="3" fillId="0" borderId="0" xfId="2" quotePrefix="1" applyNumberFormat="1" applyFont="1" applyFill="1" applyAlignment="1">
      <alignment horizontal="right"/>
    </xf>
    <xf numFmtId="0" fontId="2" fillId="0" borderId="0" xfId="2" applyFont="1" applyFill="1" applyAlignment="1">
      <alignment vertical="top"/>
    </xf>
    <xf numFmtId="172" fontId="3" fillId="0" borderId="0" xfId="2" applyNumberFormat="1" applyFont="1" applyFill="1" applyAlignment="1"/>
    <xf numFmtId="0" fontId="6" fillId="0" borderId="0" xfId="2" applyFont="1" applyFill="1"/>
    <xf numFmtId="0" fontId="26" fillId="0" borderId="46" xfId="0" applyFont="1" applyBorder="1"/>
    <xf numFmtId="0" fontId="26" fillId="0" borderId="47" xfId="0" applyFont="1" applyBorder="1"/>
    <xf numFmtId="0" fontId="26" fillId="0" borderId="45" xfId="0" applyFont="1" applyBorder="1"/>
    <xf numFmtId="0" fontId="26" fillId="0" borderId="49" xfId="0" applyFont="1" applyBorder="1" applyAlignment="1">
      <alignment horizontal="center"/>
    </xf>
    <xf numFmtId="0" fontId="26" fillId="0" borderId="50" xfId="0" applyFont="1" applyBorder="1" applyAlignment="1">
      <alignment horizontal="center"/>
    </xf>
    <xf numFmtId="0" fontId="26" fillId="0" borderId="48" xfId="0" applyFont="1" applyBorder="1" applyAlignment="1">
      <alignment horizontal="center"/>
    </xf>
    <xf numFmtId="0" fontId="4" fillId="0" borderId="51" xfId="0" applyFont="1" applyBorder="1" applyAlignment="1">
      <alignment horizontal="left"/>
    </xf>
    <xf numFmtId="2" fontId="0" fillId="0" borderId="52" xfId="0" applyNumberFormat="1" applyBorder="1" applyAlignment="1">
      <alignment horizontal="center"/>
    </xf>
    <xf numFmtId="2" fontId="0" fillId="0" borderId="53" xfId="0" applyNumberFormat="1" applyBorder="1" applyAlignment="1">
      <alignment horizontal="center"/>
    </xf>
    <xf numFmtId="176" fontId="0" fillId="0" borderId="54" xfId="0" applyNumberFormat="1" applyBorder="1" applyAlignment="1">
      <alignment horizontal="center"/>
    </xf>
    <xf numFmtId="0" fontId="0" fillId="0" borderId="52" xfId="0" applyNumberFormat="1" applyBorder="1" applyAlignment="1">
      <alignment horizontal="center"/>
    </xf>
    <xf numFmtId="0" fontId="4" fillId="0" borderId="54" xfId="0" applyFont="1" applyBorder="1" applyAlignment="1">
      <alignment horizontal="left"/>
    </xf>
    <xf numFmtId="2" fontId="0" fillId="0" borderId="55" xfId="0" applyNumberFormat="1" applyBorder="1" applyAlignment="1">
      <alignment horizontal="center"/>
    </xf>
    <xf numFmtId="2" fontId="0" fillId="0" borderId="56" xfId="0" applyNumberFormat="1" applyBorder="1" applyAlignment="1">
      <alignment horizontal="center"/>
    </xf>
    <xf numFmtId="2" fontId="0" fillId="0" borderId="54" xfId="0" applyNumberFormat="1" applyBorder="1" applyAlignment="1">
      <alignment horizontal="center"/>
    </xf>
    <xf numFmtId="0" fontId="4" fillId="0" borderId="57" xfId="0" applyFont="1" applyBorder="1" applyAlignment="1">
      <alignment horizontal="left"/>
    </xf>
    <xf numFmtId="2" fontId="0" fillId="0" borderId="58" xfId="0" applyNumberFormat="1" applyBorder="1" applyAlignment="1">
      <alignment horizontal="center"/>
    </xf>
    <xf numFmtId="2" fontId="0" fillId="0" borderId="59" xfId="0" applyNumberFormat="1" applyBorder="1" applyAlignment="1">
      <alignment horizontal="center"/>
    </xf>
    <xf numFmtId="176" fontId="0" fillId="0" borderId="57" xfId="0" applyNumberFormat="1" applyBorder="1" applyAlignment="1">
      <alignment horizontal="center"/>
    </xf>
    <xf numFmtId="0" fontId="0" fillId="0" borderId="58" xfId="0" applyNumberFormat="1" applyBorder="1" applyAlignment="1">
      <alignment horizontal="center"/>
    </xf>
    <xf numFmtId="2" fontId="0" fillId="0" borderId="57" xfId="0" applyNumberFormat="1" applyBorder="1" applyAlignment="1">
      <alignment horizontal="center"/>
    </xf>
    <xf numFmtId="0" fontId="18" fillId="0" borderId="0" xfId="0" applyFont="1"/>
    <xf numFmtId="0" fontId="18" fillId="0" borderId="42" xfId="0" applyFont="1" applyBorder="1" applyAlignment="1">
      <alignment horizontal="center"/>
    </xf>
    <xf numFmtId="0" fontId="18" fillId="0" borderId="2" xfId="0" applyFont="1" applyBorder="1" applyAlignment="1">
      <alignment horizontal="center"/>
    </xf>
    <xf numFmtId="0" fontId="18" fillId="0" borderId="23" xfId="0" applyFont="1" applyBorder="1" applyAlignment="1">
      <alignment horizontal="center" vertical="center"/>
    </xf>
    <xf numFmtId="0" fontId="18" fillId="0" borderId="2" xfId="0" applyFont="1" applyBorder="1" applyAlignment="1">
      <alignment vertical="center"/>
    </xf>
    <xf numFmtId="0" fontId="26" fillId="0" borderId="3"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18" fillId="0" borderId="23" xfId="0" applyFont="1" applyBorder="1" applyAlignment="1">
      <alignment horizontal="center"/>
    </xf>
    <xf numFmtId="164" fontId="27" fillId="0" borderId="41" xfId="0" applyNumberFormat="1" applyFont="1" applyBorder="1" applyAlignment="1">
      <alignment horizontal="center"/>
    </xf>
    <xf numFmtId="0" fontId="18" fillId="0" borderId="19" xfId="0" applyFont="1" applyBorder="1" applyAlignment="1">
      <alignment horizontal="center"/>
    </xf>
    <xf numFmtId="164" fontId="27" fillId="0" borderId="2" xfId="0" applyNumberFormat="1" applyFont="1" applyBorder="1" applyAlignment="1">
      <alignment horizontal="center"/>
    </xf>
    <xf numFmtId="0" fontId="26" fillId="0" borderId="3" xfId="0" applyFont="1" applyBorder="1"/>
    <xf numFmtId="0" fontId="26" fillId="0" borderId="18" xfId="0" applyFont="1" applyBorder="1"/>
    <xf numFmtId="0" fontId="18" fillId="0" borderId="2" xfId="0" applyFont="1" applyBorder="1" applyAlignment="1">
      <alignment horizontal="center" vertical="center"/>
    </xf>
    <xf numFmtId="164" fontId="18" fillId="0" borderId="23" xfId="0" applyNumberFormat="1" applyFont="1" applyBorder="1" applyAlignment="1">
      <alignment horizontal="center"/>
    </xf>
    <xf numFmtId="164" fontId="18" fillId="0" borderId="2" xfId="0" applyNumberFormat="1" applyFont="1" applyBorder="1" applyAlignment="1">
      <alignment horizontal="center"/>
    </xf>
    <xf numFmtId="164" fontId="2" fillId="0" borderId="2" xfId="3" applyNumberFormat="1" applyFont="1" applyFill="1" applyBorder="1" applyAlignment="1">
      <alignment horizontal="center"/>
    </xf>
    <xf numFmtId="164" fontId="2" fillId="0" borderId="17" xfId="3" applyNumberFormat="1" applyFont="1" applyFill="1" applyBorder="1" applyAlignment="1">
      <alignment horizontal="center"/>
    </xf>
    <xf numFmtId="164" fontId="2" fillId="0" borderId="13" xfId="3" applyNumberFormat="1" applyFont="1" applyFill="1" applyBorder="1" applyAlignment="1">
      <alignment horizontal="center"/>
    </xf>
    <xf numFmtId="0" fontId="2" fillId="0" borderId="8" xfId="3" applyNumberFormat="1" applyFont="1" applyFill="1" applyBorder="1" applyAlignment="1">
      <alignment horizontal="center"/>
    </xf>
    <xf numFmtId="2" fontId="2" fillId="0" borderId="38" xfId="3" applyNumberFormat="1" applyFont="1" applyFill="1" applyBorder="1" applyAlignment="1">
      <alignment horizontal="center"/>
    </xf>
    <xf numFmtId="164" fontId="2" fillId="0" borderId="38" xfId="3" applyNumberFormat="1" applyFont="1" applyFill="1" applyBorder="1" applyAlignment="1">
      <alignment horizontal="center"/>
    </xf>
    <xf numFmtId="2" fontId="18" fillId="0" borderId="2" xfId="0" applyNumberFormat="1" applyFont="1" applyBorder="1" applyAlignment="1">
      <alignment horizont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33" xfId="2" applyFont="1" applyFill="1" applyBorder="1" applyAlignment="1">
      <alignment horizontal="center" vertical="center"/>
    </xf>
    <xf numFmtId="0" fontId="2" fillId="0" borderId="0" xfId="2" applyFont="1" applyFill="1" applyAlignment="1">
      <alignment horizontal="center"/>
    </xf>
    <xf numFmtId="0" fontId="2" fillId="0" borderId="32" xfId="2" applyFont="1" applyFill="1" applyBorder="1" applyAlignment="1">
      <alignment horizontal="center" vertical="center"/>
    </xf>
    <xf numFmtId="164" fontId="0" fillId="0" borderId="51" xfId="0" applyNumberFormat="1" applyBorder="1" applyAlignment="1">
      <alignment horizontal="center"/>
    </xf>
    <xf numFmtId="0" fontId="2" fillId="0" borderId="0" xfId="2" applyFont="1" applyFill="1" applyAlignment="1">
      <alignment horizontal="center"/>
    </xf>
    <xf numFmtId="0" fontId="2" fillId="0" borderId="32" xfId="2" applyFont="1" applyFill="1" applyBorder="1" applyAlignment="1">
      <alignment horizontal="center" vertic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33" xfId="2" applyFont="1" applyFill="1" applyBorder="1" applyAlignment="1">
      <alignment horizontal="center" vertical="center"/>
    </xf>
    <xf numFmtId="177" fontId="2" fillId="0" borderId="8" xfId="3" applyNumberFormat="1" applyFont="1" applyFill="1" applyBorder="1" applyAlignment="1">
      <alignment horizontal="center"/>
    </xf>
    <xf numFmtId="0" fontId="26" fillId="0" borderId="45" xfId="0" applyNumberFormat="1" applyFont="1" applyBorder="1" applyAlignment="1">
      <alignment horizontal="center" vertical="center"/>
    </xf>
    <xf numFmtId="0" fontId="0" fillId="0" borderId="48" xfId="0" applyNumberFormat="1" applyBorder="1" applyAlignment="1">
      <alignment vertical="center"/>
    </xf>
    <xf numFmtId="0" fontId="26" fillId="0" borderId="46" xfId="0" applyFont="1" applyBorder="1" applyAlignment="1">
      <alignment horizontal="center"/>
    </xf>
    <xf numFmtId="0" fontId="0" fillId="0" borderId="47" xfId="0" applyBorder="1" applyAlignment="1">
      <alignment horizontal="center"/>
    </xf>
    <xf numFmtId="0" fontId="2" fillId="0" borderId="0" xfId="2" applyFont="1" applyFill="1" applyAlignment="1">
      <alignment horizontal="left" vertical="top" wrapText="1"/>
    </xf>
    <xf numFmtId="0" fontId="26" fillId="0" borderId="23" xfId="0" applyFont="1" applyBorder="1" applyAlignment="1">
      <alignment horizontal="center" vertical="center"/>
    </xf>
    <xf numFmtId="0" fontId="0" fillId="0" borderId="2" xfId="0" applyBorder="1" applyAlignment="1">
      <alignment vertic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22" xfId="2" applyFont="1" applyFill="1" applyBorder="1" applyAlignment="1">
      <alignment horizontal="center"/>
    </xf>
    <xf numFmtId="0" fontId="2" fillId="0" borderId="18" xfId="2" applyFont="1" applyFill="1" applyBorder="1" applyAlignment="1">
      <alignment horizontal="center"/>
    </xf>
    <xf numFmtId="0" fontId="3" fillId="0" borderId="0" xfId="2" applyFont="1" applyFill="1" applyBorder="1" applyAlignment="1">
      <alignment horizontal="right" vertical="center" wrapText="1"/>
    </xf>
    <xf numFmtId="0" fontId="2" fillId="0" borderId="23"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33" xfId="2" applyFont="1" applyFill="1" applyBorder="1" applyAlignment="1">
      <alignment horizontal="center" vertical="center"/>
    </xf>
    <xf numFmtId="0" fontId="2" fillId="0" borderId="36" xfId="2" applyFont="1" applyFill="1" applyBorder="1" applyAlignment="1">
      <alignment horizontal="center" vertical="center"/>
    </xf>
    <xf numFmtId="0" fontId="2" fillId="0" borderId="23" xfId="3" applyFont="1" applyFill="1" applyBorder="1" applyAlignment="1">
      <alignment horizontal="center" vertical="center" wrapText="1"/>
    </xf>
    <xf numFmtId="0" fontId="2" fillId="0" borderId="38" xfId="3" applyFont="1" applyFill="1" applyBorder="1" applyAlignment="1">
      <alignment horizontal="center" vertical="center" wrapText="1"/>
    </xf>
    <xf numFmtId="0" fontId="2" fillId="0" borderId="2" xfId="3" applyFont="1" applyFill="1" applyBorder="1" applyAlignment="1">
      <alignment horizontal="center" vertical="center" wrapText="1"/>
    </xf>
    <xf numFmtId="1" fontId="2" fillId="0" borderId="40" xfId="0" applyNumberFormat="1" applyFont="1" applyFill="1" applyBorder="1" applyAlignment="1">
      <alignment horizontal="center" vertical="center" wrapText="1"/>
    </xf>
    <xf numFmtId="1" fontId="2" fillId="0" borderId="36" xfId="0" applyNumberFormat="1" applyFont="1" applyFill="1" applyBorder="1" applyAlignment="1">
      <alignment horizontal="center" vertical="center" wrapText="1"/>
    </xf>
    <xf numFmtId="172" fontId="3" fillId="0" borderId="0" xfId="2" applyNumberFormat="1" applyFont="1" applyFill="1" applyAlignment="1">
      <alignment horizontal="center"/>
    </xf>
    <xf numFmtId="0" fontId="2" fillId="0" borderId="0" xfId="2" applyFont="1" applyFill="1" applyAlignment="1">
      <alignment horizontal="center"/>
    </xf>
    <xf numFmtId="0" fontId="2" fillId="0" borderId="32"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42"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4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22" xfId="3" applyFont="1" applyFill="1" applyBorder="1" applyAlignment="1">
      <alignment horizontal="center"/>
    </xf>
    <xf numFmtId="0" fontId="2" fillId="0" borderId="21" xfId="3" applyFont="1" applyFill="1" applyBorder="1" applyAlignment="1">
      <alignment horizontal="center"/>
    </xf>
    <xf numFmtId="0" fontId="2" fillId="0" borderId="18" xfId="3" applyFont="1" applyFill="1" applyBorder="1" applyAlignment="1">
      <alignment horizontal="center"/>
    </xf>
    <xf numFmtId="0" fontId="2" fillId="0" borderId="3" xfId="2" applyFont="1" applyFill="1" applyBorder="1" applyAlignment="1">
      <alignment horizontal="center"/>
    </xf>
    <xf numFmtId="0" fontId="2" fillId="0" borderId="42" xfId="2" applyFont="1" applyFill="1" applyBorder="1" applyAlignment="1">
      <alignment horizontal="center"/>
    </xf>
    <xf numFmtId="0" fontId="2" fillId="0" borderId="41" xfId="2" applyFont="1" applyFill="1" applyBorder="1" applyAlignment="1">
      <alignment horizontal="center"/>
    </xf>
    <xf numFmtId="0" fontId="2" fillId="0" borderId="2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1" xfId="2" applyFont="1" applyFill="1" applyBorder="1" applyAlignment="1">
      <alignment horizontal="center"/>
    </xf>
    <xf numFmtId="1" fontId="3" fillId="0" borderId="22" xfId="3" applyNumberFormat="1" applyFont="1" applyFill="1" applyBorder="1" applyAlignment="1">
      <alignment horizontal="center"/>
    </xf>
    <xf numFmtId="1" fontId="3" fillId="0" borderId="21" xfId="3" applyNumberFormat="1" applyFont="1" applyFill="1" applyBorder="1" applyAlignment="1">
      <alignment horizontal="center"/>
    </xf>
    <xf numFmtId="1" fontId="3" fillId="0" borderId="18" xfId="3" applyNumberFormat="1" applyFont="1" applyFill="1" applyBorder="1" applyAlignment="1">
      <alignment horizontal="center"/>
    </xf>
    <xf numFmtId="1" fontId="2" fillId="0" borderId="42" xfId="0" applyNumberFormat="1" applyFont="1" applyFill="1" applyBorder="1" applyAlignment="1">
      <alignment horizontal="center" vertical="center" wrapText="1"/>
    </xf>
    <xf numFmtId="1" fontId="2" fillId="0" borderId="41" xfId="0" applyNumberFormat="1" applyFont="1" applyFill="1" applyBorder="1" applyAlignment="1">
      <alignment horizontal="center" vertical="center" wrapText="1"/>
    </xf>
    <xf numFmtId="0" fontId="2" fillId="0" borderId="23" xfId="2" applyFont="1" applyFill="1" applyBorder="1" applyAlignment="1">
      <alignment horizontal="center" vertical="center"/>
    </xf>
    <xf numFmtId="0" fontId="2" fillId="0" borderId="38" xfId="2" applyFont="1" applyFill="1" applyBorder="1" applyAlignment="1">
      <alignment horizontal="center" vertical="center"/>
    </xf>
    <xf numFmtId="0" fontId="2" fillId="0" borderId="2" xfId="2" applyFont="1" applyFill="1" applyBorder="1" applyAlignment="1">
      <alignment horizontal="center" vertical="center"/>
    </xf>
    <xf numFmtId="1" fontId="2" fillId="0" borderId="23" xfId="0" applyNumberFormat="1" applyFont="1" applyFill="1" applyBorder="1" applyAlignment="1">
      <alignment horizontal="center" vertical="center" wrapText="1"/>
    </xf>
    <xf numFmtId="1" fontId="2" fillId="0" borderId="38"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cellXfs>
  <cellStyles count="51">
    <cellStyle name="Camp Document Field" xfId="4"/>
    <cellStyle name="Camp Document Record" xfId="5"/>
    <cellStyle name="Camp Document Table" xfId="6"/>
    <cellStyle name="CAMP H-Label 2" xfId="7"/>
    <cellStyle name="CAMP H-Label 3 Inclined" xfId="8"/>
    <cellStyle name="Camp Input Field General" xfId="9"/>
    <cellStyle name="Camp Input Field Meas" xfId="10"/>
    <cellStyle name="Camp Input Field Percent" xfId="11"/>
    <cellStyle name="Camp Label Column" xfId="12"/>
    <cellStyle name="Camp Label Column 2" xfId="13"/>
    <cellStyle name="Camp Label Column 3" xfId="14"/>
    <cellStyle name="Camp Label Column 4" xfId="15"/>
    <cellStyle name="Camp Output Field" xfId="16"/>
    <cellStyle name="Camp Output Field  Without Red" xfId="17"/>
    <cellStyle name="Camp Output Field General" xfId="18"/>
    <cellStyle name="Camp Output Field Green" xfId="19"/>
    <cellStyle name="Camp Output Field Green B&amp;W" xfId="20"/>
    <cellStyle name="Camp Output Field Percent" xfId="21"/>
    <cellStyle name="Camp Output Field Percent Green B&amp;W" xfId="22"/>
    <cellStyle name="Camp Output Field Percent Red B&amp;W" xfId="23"/>
    <cellStyle name="Camp Output Field Percent With Red" xfId="24"/>
    <cellStyle name="Camp Output Field Percent Yellow B&amp;W" xfId="25"/>
    <cellStyle name="Camp Output Field Red" xfId="26"/>
    <cellStyle name="Camp Output Field Red B&amp;W" xfId="27"/>
    <cellStyle name="Camp Output Field Yellow" xfId="28"/>
    <cellStyle name="Camp Output Field Yellow B&amp;W" xfId="29"/>
    <cellStyle name="Camp Percent" xfId="30"/>
    <cellStyle name="Camp System" xfId="31"/>
    <cellStyle name="Camp Validator Gray Percent" xfId="32"/>
    <cellStyle name="Camp Validator Gray Value" xfId="33"/>
    <cellStyle name="Camp Validator Green Percent" xfId="34"/>
    <cellStyle name="Camp Validator Green Value" xfId="35"/>
    <cellStyle name="Camp Validator Red Percent" xfId="36"/>
    <cellStyle name="Camp Validator Red Value" xfId="37"/>
    <cellStyle name="Camp Validator Yellow Percent" xfId="38"/>
    <cellStyle name="Camp Validator Yellow Value" xfId="39"/>
    <cellStyle name="CAMP V-Label 3" xfId="40"/>
    <cellStyle name="CampValidationCorrect" xfId="41"/>
    <cellStyle name="CampValidationCorrectable" xfId="42"/>
    <cellStyle name="CampValidationNoData" xfId="43"/>
    <cellStyle name="CampValidationUncorrectable" xfId="44"/>
    <cellStyle name="Comma" xfId="1" builtinId="3"/>
    <cellStyle name="Comma0" xfId="45"/>
    <cellStyle name="Currency0" xfId="46"/>
    <cellStyle name="Date" xfId="47"/>
    <cellStyle name="Fixed" xfId="48"/>
    <cellStyle name="Left" xfId="49"/>
    <cellStyle name="Normal" xfId="0" builtinId="0"/>
    <cellStyle name="Normal_CN-14-16(Third Comp)" xfId="3"/>
    <cellStyle name="Normal_CNF22" xfId="2"/>
    <cellStyle name="Right" xfId="50"/>
  </cellStyles>
  <dxfs count="57">
    <dxf>
      <fill>
        <patternFill>
          <bgColor indexed="43"/>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3"/>
        </patternFill>
      </fill>
    </dxf>
    <dxf>
      <fill>
        <patternFill>
          <bgColor indexed="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sz="1050" b="1" i="0" u="none" strike="noStrike" baseline="0">
                <a:solidFill>
                  <a:srgbClr val="000000"/>
                </a:solidFill>
                <a:latin typeface="Arial"/>
                <a:ea typeface="Arial"/>
                <a:cs typeface="Arial"/>
              </a:defRPr>
            </a:pPr>
            <a:r>
              <a:rPr lang="en-CA"/>
              <a:t>Gravity Tails, CN Leach Kinetics</a:t>
            </a:r>
          </a:p>
        </c:rich>
      </c:tx>
      <c:layout>
        <c:manualLayout>
          <c:xMode val="edge"/>
          <c:yMode val="edge"/>
          <c:x val="0.31261101243339229"/>
          <c:y val="3.5598705501618151E-2"/>
        </c:manualLayout>
      </c:layout>
      <c:spPr>
        <a:noFill/>
        <a:ln w="25400">
          <a:noFill/>
        </a:ln>
      </c:spPr>
    </c:title>
    <c:plotArea>
      <c:layout>
        <c:manualLayout>
          <c:layoutTarget val="inner"/>
          <c:xMode val="edge"/>
          <c:yMode val="edge"/>
          <c:x val="0.12788632326820587"/>
          <c:y val="0.16828478964401292"/>
          <c:w val="0.82593250444049771"/>
          <c:h val="0.61165048543689626"/>
        </c:manualLayout>
      </c:layout>
      <c:scatterChart>
        <c:scatterStyle val="lineMarker"/>
        <c:ser>
          <c:idx val="2"/>
          <c:order val="0"/>
          <c:tx>
            <c:strRef>
              <c:f>Results!$B$6</c:f>
              <c:strCache>
                <c:ptCount val="1"/>
                <c:pt idx="0">
                  <c:v>CN-1, BS-3A13-03,Gravity tail, 75 µm</c:v>
                </c:pt>
              </c:strCache>
            </c:strRef>
          </c:tx>
          <c:spPr>
            <a:ln w="12700">
              <a:solidFill>
                <a:srgbClr val="000000"/>
              </a:solidFill>
              <a:prstDash val="solid"/>
            </a:ln>
          </c:spPr>
          <c:marker>
            <c:symbol val="triangle"/>
            <c:size val="5"/>
            <c:spPr>
              <a:solidFill>
                <a:srgbClr val="FFFF00"/>
              </a:solidFill>
              <a:ln>
                <a:solidFill>
                  <a:srgbClr val="000000"/>
                </a:solidFill>
                <a:prstDash val="solid"/>
              </a:ln>
            </c:spPr>
          </c:marker>
          <c:xVal>
            <c:numRef>
              <c:f>Results!$I$4:$I$7</c:f>
              <c:numCache>
                <c:formatCode>General</c:formatCode>
                <c:ptCount val="4"/>
                <c:pt idx="0">
                  <c:v>2</c:v>
                </c:pt>
                <c:pt idx="1">
                  <c:v>8</c:v>
                </c:pt>
                <c:pt idx="2">
                  <c:v>24</c:v>
                </c:pt>
                <c:pt idx="3">
                  <c:v>48</c:v>
                </c:pt>
              </c:numCache>
            </c:numRef>
          </c:xVal>
          <c:yVal>
            <c:numRef>
              <c:f>'CN-1'!$M$35:$M$38</c:f>
              <c:numCache>
                <c:formatCode>0.0</c:formatCode>
                <c:ptCount val="4"/>
                <c:pt idx="0">
                  <c:v>54.12353025908596</c:v>
                </c:pt>
                <c:pt idx="1">
                  <c:v>72.935671643443129</c:v>
                </c:pt>
                <c:pt idx="2">
                  <c:v>86.3044534963893</c:v>
                </c:pt>
                <c:pt idx="3">
                  <c:v>90.233898694831737</c:v>
                </c:pt>
              </c:numCache>
            </c:numRef>
          </c:yVal>
        </c:ser>
        <c:ser>
          <c:idx val="0"/>
          <c:order val="1"/>
          <c:tx>
            <c:strRef>
              <c:f>Results!$B$7</c:f>
              <c:strCache>
                <c:ptCount val="1"/>
                <c:pt idx="0">
                  <c:v>CN-2, BS-3A13-02,Gravity tail, 75 µm</c:v>
                </c:pt>
              </c:strCache>
            </c:strRef>
          </c:tx>
          <c:spPr>
            <a:ln w="19050">
              <a:solidFill>
                <a:schemeClr val="tx1"/>
              </a:solidFill>
            </a:ln>
          </c:spPr>
          <c:marker>
            <c:spPr>
              <a:noFill/>
              <a:ln>
                <a:solidFill>
                  <a:schemeClr val="tx1"/>
                </a:solidFill>
              </a:ln>
            </c:spPr>
          </c:marker>
          <c:xVal>
            <c:numRef>
              <c:f>Results!$I$4:$I$7</c:f>
              <c:numCache>
                <c:formatCode>General</c:formatCode>
                <c:ptCount val="4"/>
                <c:pt idx="0">
                  <c:v>2</c:v>
                </c:pt>
                <c:pt idx="1">
                  <c:v>8</c:v>
                </c:pt>
                <c:pt idx="2">
                  <c:v>24</c:v>
                </c:pt>
                <c:pt idx="3">
                  <c:v>48</c:v>
                </c:pt>
              </c:numCache>
            </c:numRef>
          </c:xVal>
          <c:yVal>
            <c:numRef>
              <c:f>'CN-2'!$M$35:$M$38</c:f>
              <c:numCache>
                <c:formatCode>0.0</c:formatCode>
                <c:ptCount val="4"/>
                <c:pt idx="0">
                  <c:v>70.148943765686056</c:v>
                </c:pt>
                <c:pt idx="1">
                  <c:v>79.132202768151785</c:v>
                </c:pt>
                <c:pt idx="2">
                  <c:v>78.164167077269852</c:v>
                </c:pt>
                <c:pt idx="3">
                  <c:v>82.849681222606662</c:v>
                </c:pt>
              </c:numCache>
            </c:numRef>
          </c:yVal>
        </c:ser>
        <c:axId val="83520896"/>
        <c:axId val="83785984"/>
      </c:scatterChart>
      <c:valAx>
        <c:axId val="83520896"/>
        <c:scaling>
          <c:orientation val="minMax"/>
          <c:max val="54"/>
          <c:min val="0"/>
        </c:scaling>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Time (hour)</a:t>
                </a:r>
              </a:p>
            </c:rich>
          </c:tx>
          <c:layout>
            <c:manualLayout>
              <c:xMode val="edge"/>
              <c:yMode val="edge"/>
              <c:x val="0.47246891651865192"/>
              <c:y val="0.87702537182852458"/>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3785984"/>
        <c:crosses val="autoZero"/>
        <c:crossBetween val="midCat"/>
        <c:majorUnit val="6"/>
      </c:valAx>
      <c:valAx>
        <c:axId val="83785984"/>
        <c:scaling>
          <c:orientation val="minMax"/>
          <c:max val="100"/>
        </c:scaling>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Au Recovery (%)</a:t>
                </a:r>
              </a:p>
            </c:rich>
          </c:tx>
          <c:layout>
            <c:manualLayout>
              <c:xMode val="edge"/>
              <c:yMode val="edge"/>
              <c:x val="2.8419182948490228E-2"/>
              <c:y val="0.31715312284993502"/>
            </c:manualLayout>
          </c:layout>
          <c:spPr>
            <a:noFill/>
            <a:ln w="25400">
              <a:noFill/>
            </a:ln>
          </c:spPr>
        </c:title>
        <c:numFmt formatCode="0" sourceLinked="0"/>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3520896"/>
        <c:crosses val="autoZero"/>
        <c:crossBetween val="midCat"/>
      </c:valAx>
      <c:spPr>
        <a:solidFill>
          <a:srgbClr val="FFFFFF"/>
        </a:solidFill>
        <a:ln w="12700">
          <a:solidFill>
            <a:srgbClr val="808080"/>
          </a:solidFill>
          <a:prstDash val="solid"/>
        </a:ln>
      </c:spPr>
    </c:plotArea>
    <c:legend>
      <c:legendPos val="r"/>
      <c:layout>
        <c:manualLayout>
          <c:xMode val="edge"/>
          <c:yMode val="edge"/>
          <c:x val="0.51332149200710475"/>
          <c:y val="0.62998921251348439"/>
          <c:w val="0.4079946879150067"/>
          <c:h val="0.13174120225263103"/>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9</xdr:row>
      <xdr:rowOff>152400</xdr:rowOff>
    </xdr:from>
    <xdr:to>
      <xdr:col>5</xdr:col>
      <xdr:colOff>0</xdr:colOff>
      <xdr:row>28</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I8"/>
  <sheetViews>
    <sheetView workbookViewId="0">
      <selection activeCell="G23" sqref="G23"/>
    </sheetView>
  </sheetViews>
  <sheetFormatPr defaultRowHeight="12.75"/>
  <cols>
    <col min="2" max="2" width="32.5703125" customWidth="1"/>
    <col min="3" max="3" width="13.7109375" customWidth="1"/>
    <col min="4" max="4" width="13.28515625" customWidth="1"/>
    <col min="5" max="5" width="12.85546875" customWidth="1"/>
    <col min="6" max="6" width="12.28515625" customWidth="1"/>
    <col min="7" max="7" width="14.42578125" customWidth="1"/>
    <col min="8" max="8" width="17" customWidth="1"/>
    <col min="258" max="258" width="32.5703125" customWidth="1"/>
    <col min="259" max="259" width="13.7109375" customWidth="1"/>
    <col min="260" max="260" width="13.28515625" customWidth="1"/>
    <col min="261" max="261" width="21.5703125" customWidth="1"/>
    <col min="262" max="262" width="14" customWidth="1"/>
    <col min="263" max="263" width="16.85546875" customWidth="1"/>
    <col min="514" max="514" width="32.5703125" customWidth="1"/>
    <col min="515" max="515" width="13.7109375" customWidth="1"/>
    <col min="516" max="516" width="13.28515625" customWidth="1"/>
    <col min="517" max="517" width="21.5703125" customWidth="1"/>
    <col min="518" max="518" width="14" customWidth="1"/>
    <col min="519" max="519" width="16.85546875" customWidth="1"/>
    <col min="770" max="770" width="32.5703125" customWidth="1"/>
    <col min="771" max="771" width="13.7109375" customWidth="1"/>
    <col min="772" max="772" width="13.28515625" customWidth="1"/>
    <col min="773" max="773" width="21.5703125" customWidth="1"/>
    <col min="774" max="774" width="14" customWidth="1"/>
    <col min="775" max="775" width="16.85546875" customWidth="1"/>
    <col min="1026" max="1026" width="32.5703125" customWidth="1"/>
    <col min="1027" max="1027" width="13.7109375" customWidth="1"/>
    <col min="1028" max="1028" width="13.28515625" customWidth="1"/>
    <col min="1029" max="1029" width="21.5703125" customWidth="1"/>
    <col min="1030" max="1030" width="14" customWidth="1"/>
    <col min="1031" max="1031" width="16.85546875" customWidth="1"/>
    <col min="1282" max="1282" width="32.5703125" customWidth="1"/>
    <col min="1283" max="1283" width="13.7109375" customWidth="1"/>
    <col min="1284" max="1284" width="13.28515625" customWidth="1"/>
    <col min="1285" max="1285" width="21.5703125" customWidth="1"/>
    <col min="1286" max="1286" width="14" customWidth="1"/>
    <col min="1287" max="1287" width="16.85546875" customWidth="1"/>
    <col min="1538" max="1538" width="32.5703125" customWidth="1"/>
    <col min="1539" max="1539" width="13.7109375" customWidth="1"/>
    <col min="1540" max="1540" width="13.28515625" customWidth="1"/>
    <col min="1541" max="1541" width="21.5703125" customWidth="1"/>
    <col min="1542" max="1542" width="14" customWidth="1"/>
    <col min="1543" max="1543" width="16.85546875" customWidth="1"/>
    <col min="1794" max="1794" width="32.5703125" customWidth="1"/>
    <col min="1795" max="1795" width="13.7109375" customWidth="1"/>
    <col min="1796" max="1796" width="13.28515625" customWidth="1"/>
    <col min="1797" max="1797" width="21.5703125" customWidth="1"/>
    <col min="1798" max="1798" width="14" customWidth="1"/>
    <col min="1799" max="1799" width="16.85546875" customWidth="1"/>
    <col min="2050" max="2050" width="32.5703125" customWidth="1"/>
    <col min="2051" max="2051" width="13.7109375" customWidth="1"/>
    <col min="2052" max="2052" width="13.28515625" customWidth="1"/>
    <col min="2053" max="2053" width="21.5703125" customWidth="1"/>
    <col min="2054" max="2054" width="14" customWidth="1"/>
    <col min="2055" max="2055" width="16.85546875" customWidth="1"/>
    <col min="2306" max="2306" width="32.5703125" customWidth="1"/>
    <col min="2307" max="2307" width="13.7109375" customWidth="1"/>
    <col min="2308" max="2308" width="13.28515625" customWidth="1"/>
    <col min="2309" max="2309" width="21.5703125" customWidth="1"/>
    <col min="2310" max="2310" width="14" customWidth="1"/>
    <col min="2311" max="2311" width="16.85546875" customWidth="1"/>
    <col min="2562" max="2562" width="32.5703125" customWidth="1"/>
    <col min="2563" max="2563" width="13.7109375" customWidth="1"/>
    <col min="2564" max="2564" width="13.28515625" customWidth="1"/>
    <col min="2565" max="2565" width="21.5703125" customWidth="1"/>
    <col min="2566" max="2566" width="14" customWidth="1"/>
    <col min="2567" max="2567" width="16.85546875" customWidth="1"/>
    <col min="2818" max="2818" width="32.5703125" customWidth="1"/>
    <col min="2819" max="2819" width="13.7109375" customWidth="1"/>
    <col min="2820" max="2820" width="13.28515625" customWidth="1"/>
    <col min="2821" max="2821" width="21.5703125" customWidth="1"/>
    <col min="2822" max="2822" width="14" customWidth="1"/>
    <col min="2823" max="2823" width="16.85546875" customWidth="1"/>
    <col min="3074" max="3074" width="32.5703125" customWidth="1"/>
    <col min="3075" max="3075" width="13.7109375" customWidth="1"/>
    <col min="3076" max="3076" width="13.28515625" customWidth="1"/>
    <col min="3077" max="3077" width="21.5703125" customWidth="1"/>
    <col min="3078" max="3078" width="14" customWidth="1"/>
    <col min="3079" max="3079" width="16.85546875" customWidth="1"/>
    <col min="3330" max="3330" width="32.5703125" customWidth="1"/>
    <col min="3331" max="3331" width="13.7109375" customWidth="1"/>
    <col min="3332" max="3332" width="13.28515625" customWidth="1"/>
    <col min="3333" max="3333" width="21.5703125" customWidth="1"/>
    <col min="3334" max="3334" width="14" customWidth="1"/>
    <col min="3335" max="3335" width="16.85546875" customWidth="1"/>
    <col min="3586" max="3586" width="32.5703125" customWidth="1"/>
    <col min="3587" max="3587" width="13.7109375" customWidth="1"/>
    <col min="3588" max="3588" width="13.28515625" customWidth="1"/>
    <col min="3589" max="3589" width="21.5703125" customWidth="1"/>
    <col min="3590" max="3590" width="14" customWidth="1"/>
    <col min="3591" max="3591" width="16.85546875" customWidth="1"/>
    <col min="3842" max="3842" width="32.5703125" customWidth="1"/>
    <col min="3843" max="3843" width="13.7109375" customWidth="1"/>
    <col min="3844" max="3844" width="13.28515625" customWidth="1"/>
    <col min="3845" max="3845" width="21.5703125" customWidth="1"/>
    <col min="3846" max="3846" width="14" customWidth="1"/>
    <col min="3847" max="3847" width="16.85546875" customWidth="1"/>
    <col min="4098" max="4098" width="32.5703125" customWidth="1"/>
    <col min="4099" max="4099" width="13.7109375" customWidth="1"/>
    <col min="4100" max="4100" width="13.28515625" customWidth="1"/>
    <col min="4101" max="4101" width="21.5703125" customWidth="1"/>
    <col min="4102" max="4102" width="14" customWidth="1"/>
    <col min="4103" max="4103" width="16.85546875" customWidth="1"/>
    <col min="4354" max="4354" width="32.5703125" customWidth="1"/>
    <col min="4355" max="4355" width="13.7109375" customWidth="1"/>
    <col min="4356" max="4356" width="13.28515625" customWidth="1"/>
    <col min="4357" max="4357" width="21.5703125" customWidth="1"/>
    <col min="4358" max="4358" width="14" customWidth="1"/>
    <col min="4359" max="4359" width="16.85546875" customWidth="1"/>
    <col min="4610" max="4610" width="32.5703125" customWidth="1"/>
    <col min="4611" max="4611" width="13.7109375" customWidth="1"/>
    <col min="4612" max="4612" width="13.28515625" customWidth="1"/>
    <col min="4613" max="4613" width="21.5703125" customWidth="1"/>
    <col min="4614" max="4614" width="14" customWidth="1"/>
    <col min="4615" max="4615" width="16.85546875" customWidth="1"/>
    <col min="4866" max="4866" width="32.5703125" customWidth="1"/>
    <col min="4867" max="4867" width="13.7109375" customWidth="1"/>
    <col min="4868" max="4868" width="13.28515625" customWidth="1"/>
    <col min="4869" max="4869" width="21.5703125" customWidth="1"/>
    <col min="4870" max="4870" width="14" customWidth="1"/>
    <col min="4871" max="4871" width="16.85546875" customWidth="1"/>
    <col min="5122" max="5122" width="32.5703125" customWidth="1"/>
    <col min="5123" max="5123" width="13.7109375" customWidth="1"/>
    <col min="5124" max="5124" width="13.28515625" customWidth="1"/>
    <col min="5125" max="5125" width="21.5703125" customWidth="1"/>
    <col min="5126" max="5126" width="14" customWidth="1"/>
    <col min="5127" max="5127" width="16.85546875" customWidth="1"/>
    <col min="5378" max="5378" width="32.5703125" customWidth="1"/>
    <col min="5379" max="5379" width="13.7109375" customWidth="1"/>
    <col min="5380" max="5380" width="13.28515625" customWidth="1"/>
    <col min="5381" max="5381" width="21.5703125" customWidth="1"/>
    <col min="5382" max="5382" width="14" customWidth="1"/>
    <col min="5383" max="5383" width="16.85546875" customWidth="1"/>
    <col min="5634" max="5634" width="32.5703125" customWidth="1"/>
    <col min="5635" max="5635" width="13.7109375" customWidth="1"/>
    <col min="5636" max="5636" width="13.28515625" customWidth="1"/>
    <col min="5637" max="5637" width="21.5703125" customWidth="1"/>
    <col min="5638" max="5638" width="14" customWidth="1"/>
    <col min="5639" max="5639" width="16.85546875" customWidth="1"/>
    <col min="5890" max="5890" width="32.5703125" customWidth="1"/>
    <col min="5891" max="5891" width="13.7109375" customWidth="1"/>
    <col min="5892" max="5892" width="13.28515625" customWidth="1"/>
    <col min="5893" max="5893" width="21.5703125" customWidth="1"/>
    <col min="5894" max="5894" width="14" customWidth="1"/>
    <col min="5895" max="5895" width="16.85546875" customWidth="1"/>
    <col min="6146" max="6146" width="32.5703125" customWidth="1"/>
    <col min="6147" max="6147" width="13.7109375" customWidth="1"/>
    <col min="6148" max="6148" width="13.28515625" customWidth="1"/>
    <col min="6149" max="6149" width="21.5703125" customWidth="1"/>
    <col min="6150" max="6150" width="14" customWidth="1"/>
    <col min="6151" max="6151" width="16.85546875" customWidth="1"/>
    <col min="6402" max="6402" width="32.5703125" customWidth="1"/>
    <col min="6403" max="6403" width="13.7109375" customWidth="1"/>
    <col min="6404" max="6404" width="13.28515625" customWidth="1"/>
    <col min="6405" max="6405" width="21.5703125" customWidth="1"/>
    <col min="6406" max="6406" width="14" customWidth="1"/>
    <col min="6407" max="6407" width="16.85546875" customWidth="1"/>
    <col min="6658" max="6658" width="32.5703125" customWidth="1"/>
    <col min="6659" max="6659" width="13.7109375" customWidth="1"/>
    <col min="6660" max="6660" width="13.28515625" customWidth="1"/>
    <col min="6661" max="6661" width="21.5703125" customWidth="1"/>
    <col min="6662" max="6662" width="14" customWidth="1"/>
    <col min="6663" max="6663" width="16.85546875" customWidth="1"/>
    <col min="6914" max="6914" width="32.5703125" customWidth="1"/>
    <col min="6915" max="6915" width="13.7109375" customWidth="1"/>
    <col min="6916" max="6916" width="13.28515625" customWidth="1"/>
    <col min="6917" max="6917" width="21.5703125" customWidth="1"/>
    <col min="6918" max="6918" width="14" customWidth="1"/>
    <col min="6919" max="6919" width="16.85546875" customWidth="1"/>
    <col min="7170" max="7170" width="32.5703125" customWidth="1"/>
    <col min="7171" max="7171" width="13.7109375" customWidth="1"/>
    <col min="7172" max="7172" width="13.28515625" customWidth="1"/>
    <col min="7173" max="7173" width="21.5703125" customWidth="1"/>
    <col min="7174" max="7174" width="14" customWidth="1"/>
    <col min="7175" max="7175" width="16.85546875" customWidth="1"/>
    <col min="7426" max="7426" width="32.5703125" customWidth="1"/>
    <col min="7427" max="7427" width="13.7109375" customWidth="1"/>
    <col min="7428" max="7428" width="13.28515625" customWidth="1"/>
    <col min="7429" max="7429" width="21.5703125" customWidth="1"/>
    <col min="7430" max="7430" width="14" customWidth="1"/>
    <col min="7431" max="7431" width="16.85546875" customWidth="1"/>
    <col min="7682" max="7682" width="32.5703125" customWidth="1"/>
    <col min="7683" max="7683" width="13.7109375" customWidth="1"/>
    <col min="7684" max="7684" width="13.28515625" customWidth="1"/>
    <col min="7685" max="7685" width="21.5703125" customWidth="1"/>
    <col min="7686" max="7686" width="14" customWidth="1"/>
    <col min="7687" max="7687" width="16.85546875" customWidth="1"/>
    <col min="7938" max="7938" width="32.5703125" customWidth="1"/>
    <col min="7939" max="7939" width="13.7109375" customWidth="1"/>
    <col min="7940" max="7940" width="13.28515625" customWidth="1"/>
    <col min="7941" max="7941" width="21.5703125" customWidth="1"/>
    <col min="7942" max="7942" width="14" customWidth="1"/>
    <col min="7943" max="7943" width="16.85546875" customWidth="1"/>
    <col min="8194" max="8194" width="32.5703125" customWidth="1"/>
    <col min="8195" max="8195" width="13.7109375" customWidth="1"/>
    <col min="8196" max="8196" width="13.28515625" customWidth="1"/>
    <col min="8197" max="8197" width="21.5703125" customWidth="1"/>
    <col min="8198" max="8198" width="14" customWidth="1"/>
    <col min="8199" max="8199" width="16.85546875" customWidth="1"/>
    <col min="8450" max="8450" width="32.5703125" customWidth="1"/>
    <col min="8451" max="8451" width="13.7109375" customWidth="1"/>
    <col min="8452" max="8452" width="13.28515625" customWidth="1"/>
    <col min="8453" max="8453" width="21.5703125" customWidth="1"/>
    <col min="8454" max="8454" width="14" customWidth="1"/>
    <col min="8455" max="8455" width="16.85546875" customWidth="1"/>
    <col min="8706" max="8706" width="32.5703125" customWidth="1"/>
    <col min="8707" max="8707" width="13.7109375" customWidth="1"/>
    <col min="8708" max="8708" width="13.28515625" customWidth="1"/>
    <col min="8709" max="8709" width="21.5703125" customWidth="1"/>
    <col min="8710" max="8710" width="14" customWidth="1"/>
    <col min="8711" max="8711" width="16.85546875" customWidth="1"/>
    <col min="8962" max="8962" width="32.5703125" customWidth="1"/>
    <col min="8963" max="8963" width="13.7109375" customWidth="1"/>
    <col min="8964" max="8964" width="13.28515625" customWidth="1"/>
    <col min="8965" max="8965" width="21.5703125" customWidth="1"/>
    <col min="8966" max="8966" width="14" customWidth="1"/>
    <col min="8967" max="8967" width="16.85546875" customWidth="1"/>
    <col min="9218" max="9218" width="32.5703125" customWidth="1"/>
    <col min="9219" max="9219" width="13.7109375" customWidth="1"/>
    <col min="9220" max="9220" width="13.28515625" customWidth="1"/>
    <col min="9221" max="9221" width="21.5703125" customWidth="1"/>
    <col min="9222" max="9222" width="14" customWidth="1"/>
    <col min="9223" max="9223" width="16.85546875" customWidth="1"/>
    <col min="9474" max="9474" width="32.5703125" customWidth="1"/>
    <col min="9475" max="9475" width="13.7109375" customWidth="1"/>
    <col min="9476" max="9476" width="13.28515625" customWidth="1"/>
    <col min="9477" max="9477" width="21.5703125" customWidth="1"/>
    <col min="9478" max="9478" width="14" customWidth="1"/>
    <col min="9479" max="9479" width="16.85546875" customWidth="1"/>
    <col min="9730" max="9730" width="32.5703125" customWidth="1"/>
    <col min="9731" max="9731" width="13.7109375" customWidth="1"/>
    <col min="9732" max="9732" width="13.28515625" customWidth="1"/>
    <col min="9733" max="9733" width="21.5703125" customWidth="1"/>
    <col min="9734" max="9734" width="14" customWidth="1"/>
    <col min="9735" max="9735" width="16.85546875" customWidth="1"/>
    <col min="9986" max="9986" width="32.5703125" customWidth="1"/>
    <col min="9987" max="9987" width="13.7109375" customWidth="1"/>
    <col min="9988" max="9988" width="13.28515625" customWidth="1"/>
    <col min="9989" max="9989" width="21.5703125" customWidth="1"/>
    <col min="9990" max="9990" width="14" customWidth="1"/>
    <col min="9991" max="9991" width="16.85546875" customWidth="1"/>
    <col min="10242" max="10242" width="32.5703125" customWidth="1"/>
    <col min="10243" max="10243" width="13.7109375" customWidth="1"/>
    <col min="10244" max="10244" width="13.28515625" customWidth="1"/>
    <col min="10245" max="10245" width="21.5703125" customWidth="1"/>
    <col min="10246" max="10246" width="14" customWidth="1"/>
    <col min="10247" max="10247" width="16.85546875" customWidth="1"/>
    <col min="10498" max="10498" width="32.5703125" customWidth="1"/>
    <col min="10499" max="10499" width="13.7109375" customWidth="1"/>
    <col min="10500" max="10500" width="13.28515625" customWidth="1"/>
    <col min="10501" max="10501" width="21.5703125" customWidth="1"/>
    <col min="10502" max="10502" width="14" customWidth="1"/>
    <col min="10503" max="10503" width="16.85546875" customWidth="1"/>
    <col min="10754" max="10754" width="32.5703125" customWidth="1"/>
    <col min="10755" max="10755" width="13.7109375" customWidth="1"/>
    <col min="10756" max="10756" width="13.28515625" customWidth="1"/>
    <col min="10757" max="10757" width="21.5703125" customWidth="1"/>
    <col min="10758" max="10758" width="14" customWidth="1"/>
    <col min="10759" max="10759" width="16.85546875" customWidth="1"/>
    <col min="11010" max="11010" width="32.5703125" customWidth="1"/>
    <col min="11011" max="11011" width="13.7109375" customWidth="1"/>
    <col min="11012" max="11012" width="13.28515625" customWidth="1"/>
    <col min="11013" max="11013" width="21.5703125" customWidth="1"/>
    <col min="11014" max="11014" width="14" customWidth="1"/>
    <col min="11015" max="11015" width="16.85546875" customWidth="1"/>
    <col min="11266" max="11266" width="32.5703125" customWidth="1"/>
    <col min="11267" max="11267" width="13.7109375" customWidth="1"/>
    <col min="11268" max="11268" width="13.28515625" customWidth="1"/>
    <col min="11269" max="11269" width="21.5703125" customWidth="1"/>
    <col min="11270" max="11270" width="14" customWidth="1"/>
    <col min="11271" max="11271" width="16.85546875" customWidth="1"/>
    <col min="11522" max="11522" width="32.5703125" customWidth="1"/>
    <col min="11523" max="11523" width="13.7109375" customWidth="1"/>
    <col min="11524" max="11524" width="13.28515625" customWidth="1"/>
    <col min="11525" max="11525" width="21.5703125" customWidth="1"/>
    <col min="11526" max="11526" width="14" customWidth="1"/>
    <col min="11527" max="11527" width="16.85546875" customWidth="1"/>
    <col min="11778" max="11778" width="32.5703125" customWidth="1"/>
    <col min="11779" max="11779" width="13.7109375" customWidth="1"/>
    <col min="11780" max="11780" width="13.28515625" customWidth="1"/>
    <col min="11781" max="11781" width="21.5703125" customWidth="1"/>
    <col min="11782" max="11782" width="14" customWidth="1"/>
    <col min="11783" max="11783" width="16.85546875" customWidth="1"/>
    <col min="12034" max="12034" width="32.5703125" customWidth="1"/>
    <col min="12035" max="12035" width="13.7109375" customWidth="1"/>
    <col min="12036" max="12036" width="13.28515625" customWidth="1"/>
    <col min="12037" max="12037" width="21.5703125" customWidth="1"/>
    <col min="12038" max="12038" width="14" customWidth="1"/>
    <col min="12039" max="12039" width="16.85546875" customWidth="1"/>
    <col min="12290" max="12290" width="32.5703125" customWidth="1"/>
    <col min="12291" max="12291" width="13.7109375" customWidth="1"/>
    <col min="12292" max="12292" width="13.28515625" customWidth="1"/>
    <col min="12293" max="12293" width="21.5703125" customWidth="1"/>
    <col min="12294" max="12294" width="14" customWidth="1"/>
    <col min="12295" max="12295" width="16.85546875" customWidth="1"/>
    <col min="12546" max="12546" width="32.5703125" customWidth="1"/>
    <col min="12547" max="12547" width="13.7109375" customWidth="1"/>
    <col min="12548" max="12548" width="13.28515625" customWidth="1"/>
    <col min="12549" max="12549" width="21.5703125" customWidth="1"/>
    <col min="12550" max="12550" width="14" customWidth="1"/>
    <col min="12551" max="12551" width="16.85546875" customWidth="1"/>
    <col min="12802" max="12802" width="32.5703125" customWidth="1"/>
    <col min="12803" max="12803" width="13.7109375" customWidth="1"/>
    <col min="12804" max="12804" width="13.28515625" customWidth="1"/>
    <col min="12805" max="12805" width="21.5703125" customWidth="1"/>
    <col min="12806" max="12806" width="14" customWidth="1"/>
    <col min="12807" max="12807" width="16.85546875" customWidth="1"/>
    <col min="13058" max="13058" width="32.5703125" customWidth="1"/>
    <col min="13059" max="13059" width="13.7109375" customWidth="1"/>
    <col min="13060" max="13060" width="13.28515625" customWidth="1"/>
    <col min="13061" max="13061" width="21.5703125" customWidth="1"/>
    <col min="13062" max="13062" width="14" customWidth="1"/>
    <col min="13063" max="13063" width="16.85546875" customWidth="1"/>
    <col min="13314" max="13314" width="32.5703125" customWidth="1"/>
    <col min="13315" max="13315" width="13.7109375" customWidth="1"/>
    <col min="13316" max="13316" width="13.28515625" customWidth="1"/>
    <col min="13317" max="13317" width="21.5703125" customWidth="1"/>
    <col min="13318" max="13318" width="14" customWidth="1"/>
    <col min="13319" max="13319" width="16.85546875" customWidth="1"/>
    <col min="13570" max="13570" width="32.5703125" customWidth="1"/>
    <col min="13571" max="13571" width="13.7109375" customWidth="1"/>
    <col min="13572" max="13572" width="13.28515625" customWidth="1"/>
    <col min="13573" max="13573" width="21.5703125" customWidth="1"/>
    <col min="13574" max="13574" width="14" customWidth="1"/>
    <col min="13575" max="13575" width="16.85546875" customWidth="1"/>
    <col min="13826" max="13826" width="32.5703125" customWidth="1"/>
    <col min="13827" max="13827" width="13.7109375" customWidth="1"/>
    <col min="13828" max="13828" width="13.28515625" customWidth="1"/>
    <col min="13829" max="13829" width="21.5703125" customWidth="1"/>
    <col min="13830" max="13830" width="14" customWidth="1"/>
    <col min="13831" max="13831" width="16.85546875" customWidth="1"/>
    <col min="14082" max="14082" width="32.5703125" customWidth="1"/>
    <col min="14083" max="14083" width="13.7109375" customWidth="1"/>
    <col min="14084" max="14084" width="13.28515625" customWidth="1"/>
    <col min="14085" max="14085" width="21.5703125" customWidth="1"/>
    <col min="14086" max="14086" width="14" customWidth="1"/>
    <col min="14087" max="14087" width="16.85546875" customWidth="1"/>
    <col min="14338" max="14338" width="32.5703125" customWidth="1"/>
    <col min="14339" max="14339" width="13.7109375" customWidth="1"/>
    <col min="14340" max="14340" width="13.28515625" customWidth="1"/>
    <col min="14341" max="14341" width="21.5703125" customWidth="1"/>
    <col min="14342" max="14342" width="14" customWidth="1"/>
    <col min="14343" max="14343" width="16.85546875" customWidth="1"/>
    <col min="14594" max="14594" width="32.5703125" customWidth="1"/>
    <col min="14595" max="14595" width="13.7109375" customWidth="1"/>
    <col min="14596" max="14596" width="13.28515625" customWidth="1"/>
    <col min="14597" max="14597" width="21.5703125" customWidth="1"/>
    <col min="14598" max="14598" width="14" customWidth="1"/>
    <col min="14599" max="14599" width="16.85546875" customWidth="1"/>
    <col min="14850" max="14850" width="32.5703125" customWidth="1"/>
    <col min="14851" max="14851" width="13.7109375" customWidth="1"/>
    <col min="14852" max="14852" width="13.28515625" customWidth="1"/>
    <col min="14853" max="14853" width="21.5703125" customWidth="1"/>
    <col min="14854" max="14854" width="14" customWidth="1"/>
    <col min="14855" max="14855" width="16.85546875" customWidth="1"/>
    <col min="15106" max="15106" width="32.5703125" customWidth="1"/>
    <col min="15107" max="15107" width="13.7109375" customWidth="1"/>
    <col min="15108" max="15108" width="13.28515625" customWidth="1"/>
    <col min="15109" max="15109" width="21.5703125" customWidth="1"/>
    <col min="15110" max="15110" width="14" customWidth="1"/>
    <col min="15111" max="15111" width="16.85546875" customWidth="1"/>
    <col min="15362" max="15362" width="32.5703125" customWidth="1"/>
    <col min="15363" max="15363" width="13.7109375" customWidth="1"/>
    <col min="15364" max="15364" width="13.28515625" customWidth="1"/>
    <col min="15365" max="15365" width="21.5703125" customWidth="1"/>
    <col min="15366" max="15366" width="14" customWidth="1"/>
    <col min="15367" max="15367" width="16.85546875" customWidth="1"/>
    <col min="15618" max="15618" width="32.5703125" customWidth="1"/>
    <col min="15619" max="15619" width="13.7109375" customWidth="1"/>
    <col min="15620" max="15620" width="13.28515625" customWidth="1"/>
    <col min="15621" max="15621" width="21.5703125" customWidth="1"/>
    <col min="15622" max="15622" width="14" customWidth="1"/>
    <col min="15623" max="15623" width="16.85546875" customWidth="1"/>
    <col min="15874" max="15874" width="32.5703125" customWidth="1"/>
    <col min="15875" max="15875" width="13.7109375" customWidth="1"/>
    <col min="15876" max="15876" width="13.28515625" customWidth="1"/>
    <col min="15877" max="15877" width="21.5703125" customWidth="1"/>
    <col min="15878" max="15878" width="14" customWidth="1"/>
    <col min="15879" max="15879" width="16.85546875" customWidth="1"/>
    <col min="16130" max="16130" width="32.5703125" customWidth="1"/>
    <col min="16131" max="16131" width="13.7109375" customWidth="1"/>
    <col min="16132" max="16132" width="13.28515625" customWidth="1"/>
    <col min="16133" max="16133" width="21.5703125" customWidth="1"/>
    <col min="16134" max="16134" width="14" customWidth="1"/>
    <col min="16135" max="16135" width="16.85546875" customWidth="1"/>
  </cols>
  <sheetData>
    <row r="1" spans="2:9" ht="15.75">
      <c r="B1" s="60" t="s">
        <v>74</v>
      </c>
      <c r="C1" s="219" t="s">
        <v>76</v>
      </c>
      <c r="D1" s="219"/>
    </row>
    <row r="2" spans="2:9">
      <c r="B2" t="s">
        <v>83</v>
      </c>
    </row>
    <row r="3" spans="2:9" ht="13.5" thickBot="1"/>
    <row r="4" spans="2:9">
      <c r="B4" s="215" t="s">
        <v>4</v>
      </c>
      <c r="C4" s="158" t="s">
        <v>84</v>
      </c>
      <c r="D4" s="159"/>
      <c r="E4" s="217" t="s">
        <v>85</v>
      </c>
      <c r="F4" s="218"/>
      <c r="G4" s="158" t="s">
        <v>86</v>
      </c>
      <c r="H4" s="160" t="s">
        <v>87</v>
      </c>
      <c r="I4">
        <v>2</v>
      </c>
    </row>
    <row r="5" spans="2:9">
      <c r="B5" s="216"/>
      <c r="C5" s="161" t="s">
        <v>1</v>
      </c>
      <c r="D5" s="162" t="s">
        <v>0</v>
      </c>
      <c r="E5" s="163" t="s">
        <v>78</v>
      </c>
      <c r="F5" s="163" t="s">
        <v>79</v>
      </c>
      <c r="G5" s="161" t="s">
        <v>88</v>
      </c>
      <c r="H5" s="163" t="s">
        <v>89</v>
      </c>
      <c r="I5">
        <v>8</v>
      </c>
    </row>
    <row r="6" spans="2:9">
      <c r="B6" s="164" t="s">
        <v>91</v>
      </c>
      <c r="C6" s="165">
        <v>0.13949547029043421</v>
      </c>
      <c r="D6" s="166">
        <v>0.48996749267252854</v>
      </c>
      <c r="E6" s="167">
        <v>90.233898694831737</v>
      </c>
      <c r="F6" s="167">
        <v>84.528107271789594</v>
      </c>
      <c r="G6" s="168">
        <v>0.55000000000000004</v>
      </c>
      <c r="H6" s="208">
        <v>43.465947863931071</v>
      </c>
      <c r="I6">
        <v>24</v>
      </c>
    </row>
    <row r="7" spans="2:9">
      <c r="B7" s="169" t="s">
        <v>92</v>
      </c>
      <c r="C7" s="170">
        <v>0.12</v>
      </c>
      <c r="D7" s="171">
        <v>0.33</v>
      </c>
      <c r="E7" s="167">
        <v>82.849681222606662</v>
      </c>
      <c r="F7" s="167">
        <v>56.383896093029094</v>
      </c>
      <c r="G7" s="170">
        <v>0.1</v>
      </c>
      <c r="H7" s="172">
        <v>1.18</v>
      </c>
      <c r="I7">
        <v>48</v>
      </c>
    </row>
    <row r="8" spans="2:9" ht="13.5" thickBot="1">
      <c r="B8" s="173" t="s">
        <v>93</v>
      </c>
      <c r="C8" s="174"/>
      <c r="D8" s="175"/>
      <c r="E8" s="176"/>
      <c r="F8" s="176"/>
      <c r="G8" s="177"/>
      <c r="H8" s="178"/>
    </row>
  </sheetData>
  <mergeCells count="3">
    <mergeCell ref="B4:B5"/>
    <mergeCell ref="E4:F4"/>
    <mergeCell ref="C1:D1"/>
  </mergeCells>
  <conditionalFormatting sqref="C1:D1">
    <cfRule type="cellIs" dxfId="56" priority="1" stopIfTrue="1" operator="equal">
      <formula>""</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2:F14"/>
  <sheetViews>
    <sheetView tabSelected="1" workbookViewId="0">
      <selection activeCell="D26" sqref="D26"/>
    </sheetView>
  </sheetViews>
  <sheetFormatPr defaultRowHeight="12.75"/>
  <cols>
    <col min="1" max="1" width="4.7109375" style="179" customWidth="1"/>
    <col min="2" max="2" width="14.7109375" style="179" customWidth="1"/>
    <col min="3" max="3" width="11.5703125" style="179" customWidth="1"/>
    <col min="4" max="4" width="10.42578125" style="179" customWidth="1"/>
    <col min="5" max="5" width="11.140625" style="179" customWidth="1"/>
    <col min="6" max="6" width="22.28515625" style="179" customWidth="1"/>
    <col min="7" max="256" width="9.140625" style="179"/>
    <col min="257" max="257" width="2" style="179" customWidth="1"/>
    <col min="258" max="258" width="22.42578125" style="179" customWidth="1"/>
    <col min="259" max="259" width="11.7109375" style="179" customWidth="1"/>
    <col min="260" max="260" width="10.42578125" style="179" customWidth="1"/>
    <col min="261" max="261" width="11.140625" style="179" customWidth="1"/>
    <col min="262" max="262" width="22.28515625" style="179" customWidth="1"/>
    <col min="263" max="512" width="9.140625" style="179"/>
    <col min="513" max="513" width="2" style="179" customWidth="1"/>
    <col min="514" max="514" width="22.42578125" style="179" customWidth="1"/>
    <col min="515" max="515" width="11.7109375" style="179" customWidth="1"/>
    <col min="516" max="516" width="10.42578125" style="179" customWidth="1"/>
    <col min="517" max="517" width="11.140625" style="179" customWidth="1"/>
    <col min="518" max="518" width="22.28515625" style="179" customWidth="1"/>
    <col min="519" max="768" width="9.140625" style="179"/>
    <col min="769" max="769" width="2" style="179" customWidth="1"/>
    <col min="770" max="770" width="22.42578125" style="179" customWidth="1"/>
    <col min="771" max="771" width="11.7109375" style="179" customWidth="1"/>
    <col min="772" max="772" width="10.42578125" style="179" customWidth="1"/>
    <col min="773" max="773" width="11.140625" style="179" customWidth="1"/>
    <col min="774" max="774" width="22.28515625" style="179" customWidth="1"/>
    <col min="775" max="1024" width="9.140625" style="179"/>
    <col min="1025" max="1025" width="2" style="179" customWidth="1"/>
    <col min="1026" max="1026" width="22.42578125" style="179" customWidth="1"/>
    <col min="1027" max="1027" width="11.7109375" style="179" customWidth="1"/>
    <col min="1028" max="1028" width="10.42578125" style="179" customWidth="1"/>
    <col min="1029" max="1029" width="11.140625" style="179" customWidth="1"/>
    <col min="1030" max="1030" width="22.28515625" style="179" customWidth="1"/>
    <col min="1031" max="1280" width="9.140625" style="179"/>
    <col min="1281" max="1281" width="2" style="179" customWidth="1"/>
    <col min="1282" max="1282" width="22.42578125" style="179" customWidth="1"/>
    <col min="1283" max="1283" width="11.7109375" style="179" customWidth="1"/>
    <col min="1284" max="1284" width="10.42578125" style="179" customWidth="1"/>
    <col min="1285" max="1285" width="11.140625" style="179" customWidth="1"/>
    <col min="1286" max="1286" width="22.28515625" style="179" customWidth="1"/>
    <col min="1287" max="1536" width="9.140625" style="179"/>
    <col min="1537" max="1537" width="2" style="179" customWidth="1"/>
    <col min="1538" max="1538" width="22.42578125" style="179" customWidth="1"/>
    <col min="1539" max="1539" width="11.7109375" style="179" customWidth="1"/>
    <col min="1540" max="1540" width="10.42578125" style="179" customWidth="1"/>
    <col min="1541" max="1541" width="11.140625" style="179" customWidth="1"/>
    <col min="1542" max="1542" width="22.28515625" style="179" customWidth="1"/>
    <col min="1543" max="1792" width="9.140625" style="179"/>
    <col min="1793" max="1793" width="2" style="179" customWidth="1"/>
    <col min="1794" max="1794" width="22.42578125" style="179" customWidth="1"/>
    <col min="1795" max="1795" width="11.7109375" style="179" customWidth="1"/>
    <col min="1796" max="1796" width="10.42578125" style="179" customWidth="1"/>
    <col min="1797" max="1797" width="11.140625" style="179" customWidth="1"/>
    <col min="1798" max="1798" width="22.28515625" style="179" customWidth="1"/>
    <col min="1799" max="2048" width="9.140625" style="179"/>
    <col min="2049" max="2049" width="2" style="179" customWidth="1"/>
    <col min="2050" max="2050" width="22.42578125" style="179" customWidth="1"/>
    <col min="2051" max="2051" width="11.7109375" style="179" customWidth="1"/>
    <col min="2052" max="2052" width="10.42578125" style="179" customWidth="1"/>
    <col min="2053" max="2053" width="11.140625" style="179" customWidth="1"/>
    <col min="2054" max="2054" width="22.28515625" style="179" customWidth="1"/>
    <col min="2055" max="2304" width="9.140625" style="179"/>
    <col min="2305" max="2305" width="2" style="179" customWidth="1"/>
    <col min="2306" max="2306" width="22.42578125" style="179" customWidth="1"/>
    <col min="2307" max="2307" width="11.7109375" style="179" customWidth="1"/>
    <col min="2308" max="2308" width="10.42578125" style="179" customWidth="1"/>
    <col min="2309" max="2309" width="11.140625" style="179" customWidth="1"/>
    <col min="2310" max="2310" width="22.28515625" style="179" customWidth="1"/>
    <col min="2311" max="2560" width="9.140625" style="179"/>
    <col min="2561" max="2561" width="2" style="179" customWidth="1"/>
    <col min="2562" max="2562" width="22.42578125" style="179" customWidth="1"/>
    <col min="2563" max="2563" width="11.7109375" style="179" customWidth="1"/>
    <col min="2564" max="2564" width="10.42578125" style="179" customWidth="1"/>
    <col min="2565" max="2565" width="11.140625" style="179" customWidth="1"/>
    <col min="2566" max="2566" width="22.28515625" style="179" customWidth="1"/>
    <col min="2567" max="2816" width="9.140625" style="179"/>
    <col min="2817" max="2817" width="2" style="179" customWidth="1"/>
    <col min="2818" max="2818" width="22.42578125" style="179" customWidth="1"/>
    <col min="2819" max="2819" width="11.7109375" style="179" customWidth="1"/>
    <col min="2820" max="2820" width="10.42578125" style="179" customWidth="1"/>
    <col min="2821" max="2821" width="11.140625" style="179" customWidth="1"/>
    <col min="2822" max="2822" width="22.28515625" style="179" customWidth="1"/>
    <col min="2823" max="3072" width="9.140625" style="179"/>
    <col min="3073" max="3073" width="2" style="179" customWidth="1"/>
    <col min="3074" max="3074" width="22.42578125" style="179" customWidth="1"/>
    <col min="3075" max="3075" width="11.7109375" style="179" customWidth="1"/>
    <col min="3076" max="3076" width="10.42578125" style="179" customWidth="1"/>
    <col min="3077" max="3077" width="11.140625" style="179" customWidth="1"/>
    <col min="3078" max="3078" width="22.28515625" style="179" customWidth="1"/>
    <col min="3079" max="3328" width="9.140625" style="179"/>
    <col min="3329" max="3329" width="2" style="179" customWidth="1"/>
    <col min="3330" max="3330" width="22.42578125" style="179" customWidth="1"/>
    <col min="3331" max="3331" width="11.7109375" style="179" customWidth="1"/>
    <col min="3332" max="3332" width="10.42578125" style="179" customWidth="1"/>
    <col min="3333" max="3333" width="11.140625" style="179" customWidth="1"/>
    <col min="3334" max="3334" width="22.28515625" style="179" customWidth="1"/>
    <col min="3335" max="3584" width="9.140625" style="179"/>
    <col min="3585" max="3585" width="2" style="179" customWidth="1"/>
    <col min="3586" max="3586" width="22.42578125" style="179" customWidth="1"/>
    <col min="3587" max="3587" width="11.7109375" style="179" customWidth="1"/>
    <col min="3588" max="3588" width="10.42578125" style="179" customWidth="1"/>
    <col min="3589" max="3589" width="11.140625" style="179" customWidth="1"/>
    <col min="3590" max="3590" width="22.28515625" style="179" customWidth="1"/>
    <col min="3591" max="3840" width="9.140625" style="179"/>
    <col min="3841" max="3841" width="2" style="179" customWidth="1"/>
    <col min="3842" max="3842" width="22.42578125" style="179" customWidth="1"/>
    <col min="3843" max="3843" width="11.7109375" style="179" customWidth="1"/>
    <col min="3844" max="3844" width="10.42578125" style="179" customWidth="1"/>
    <col min="3845" max="3845" width="11.140625" style="179" customWidth="1"/>
    <col min="3846" max="3846" width="22.28515625" style="179" customWidth="1"/>
    <col min="3847" max="4096" width="9.140625" style="179"/>
    <col min="4097" max="4097" width="2" style="179" customWidth="1"/>
    <col min="4098" max="4098" width="22.42578125" style="179" customWidth="1"/>
    <col min="4099" max="4099" width="11.7109375" style="179" customWidth="1"/>
    <col min="4100" max="4100" width="10.42578125" style="179" customWidth="1"/>
    <col min="4101" max="4101" width="11.140625" style="179" customWidth="1"/>
    <col min="4102" max="4102" width="22.28515625" style="179" customWidth="1"/>
    <col min="4103" max="4352" width="9.140625" style="179"/>
    <col min="4353" max="4353" width="2" style="179" customWidth="1"/>
    <col min="4354" max="4354" width="22.42578125" style="179" customWidth="1"/>
    <col min="4355" max="4355" width="11.7109375" style="179" customWidth="1"/>
    <col min="4356" max="4356" width="10.42578125" style="179" customWidth="1"/>
    <col min="4357" max="4357" width="11.140625" style="179" customWidth="1"/>
    <col min="4358" max="4358" width="22.28515625" style="179" customWidth="1"/>
    <col min="4359" max="4608" width="9.140625" style="179"/>
    <col min="4609" max="4609" width="2" style="179" customWidth="1"/>
    <col min="4610" max="4610" width="22.42578125" style="179" customWidth="1"/>
    <col min="4611" max="4611" width="11.7109375" style="179" customWidth="1"/>
    <col min="4612" max="4612" width="10.42578125" style="179" customWidth="1"/>
    <col min="4613" max="4613" width="11.140625" style="179" customWidth="1"/>
    <col min="4614" max="4614" width="22.28515625" style="179" customWidth="1"/>
    <col min="4615" max="4864" width="9.140625" style="179"/>
    <col min="4865" max="4865" width="2" style="179" customWidth="1"/>
    <col min="4866" max="4866" width="22.42578125" style="179" customWidth="1"/>
    <col min="4867" max="4867" width="11.7109375" style="179" customWidth="1"/>
    <col min="4868" max="4868" width="10.42578125" style="179" customWidth="1"/>
    <col min="4869" max="4869" width="11.140625" style="179" customWidth="1"/>
    <col min="4870" max="4870" width="22.28515625" style="179" customWidth="1"/>
    <col min="4871" max="5120" width="9.140625" style="179"/>
    <col min="5121" max="5121" width="2" style="179" customWidth="1"/>
    <col min="5122" max="5122" width="22.42578125" style="179" customWidth="1"/>
    <col min="5123" max="5123" width="11.7109375" style="179" customWidth="1"/>
    <col min="5124" max="5124" width="10.42578125" style="179" customWidth="1"/>
    <col min="5125" max="5125" width="11.140625" style="179" customWidth="1"/>
    <col min="5126" max="5126" width="22.28515625" style="179" customWidth="1"/>
    <col min="5127" max="5376" width="9.140625" style="179"/>
    <col min="5377" max="5377" width="2" style="179" customWidth="1"/>
    <col min="5378" max="5378" width="22.42578125" style="179" customWidth="1"/>
    <col min="5379" max="5379" width="11.7109375" style="179" customWidth="1"/>
    <col min="5380" max="5380" width="10.42578125" style="179" customWidth="1"/>
    <col min="5381" max="5381" width="11.140625" style="179" customWidth="1"/>
    <col min="5382" max="5382" width="22.28515625" style="179" customWidth="1"/>
    <col min="5383" max="5632" width="9.140625" style="179"/>
    <col min="5633" max="5633" width="2" style="179" customWidth="1"/>
    <col min="5634" max="5634" width="22.42578125" style="179" customWidth="1"/>
    <col min="5635" max="5635" width="11.7109375" style="179" customWidth="1"/>
    <col min="5636" max="5636" width="10.42578125" style="179" customWidth="1"/>
    <col min="5637" max="5637" width="11.140625" style="179" customWidth="1"/>
    <col min="5638" max="5638" width="22.28515625" style="179" customWidth="1"/>
    <col min="5639" max="5888" width="9.140625" style="179"/>
    <col min="5889" max="5889" width="2" style="179" customWidth="1"/>
    <col min="5890" max="5890" width="22.42578125" style="179" customWidth="1"/>
    <col min="5891" max="5891" width="11.7109375" style="179" customWidth="1"/>
    <col min="5892" max="5892" width="10.42578125" style="179" customWidth="1"/>
    <col min="5893" max="5893" width="11.140625" style="179" customWidth="1"/>
    <col min="5894" max="5894" width="22.28515625" style="179" customWidth="1"/>
    <col min="5895" max="6144" width="9.140625" style="179"/>
    <col min="6145" max="6145" width="2" style="179" customWidth="1"/>
    <col min="6146" max="6146" width="22.42578125" style="179" customWidth="1"/>
    <col min="6147" max="6147" width="11.7109375" style="179" customWidth="1"/>
    <col min="6148" max="6148" width="10.42578125" style="179" customWidth="1"/>
    <col min="6149" max="6149" width="11.140625" style="179" customWidth="1"/>
    <col min="6150" max="6150" width="22.28515625" style="179" customWidth="1"/>
    <col min="6151" max="6400" width="9.140625" style="179"/>
    <col min="6401" max="6401" width="2" style="179" customWidth="1"/>
    <col min="6402" max="6402" width="22.42578125" style="179" customWidth="1"/>
    <col min="6403" max="6403" width="11.7109375" style="179" customWidth="1"/>
    <col min="6404" max="6404" width="10.42578125" style="179" customWidth="1"/>
    <col min="6405" max="6405" width="11.140625" style="179" customWidth="1"/>
    <col min="6406" max="6406" width="22.28515625" style="179" customWidth="1"/>
    <col min="6407" max="6656" width="9.140625" style="179"/>
    <col min="6657" max="6657" width="2" style="179" customWidth="1"/>
    <col min="6658" max="6658" width="22.42578125" style="179" customWidth="1"/>
    <col min="6659" max="6659" width="11.7109375" style="179" customWidth="1"/>
    <col min="6660" max="6660" width="10.42578125" style="179" customWidth="1"/>
    <col min="6661" max="6661" width="11.140625" style="179" customWidth="1"/>
    <col min="6662" max="6662" width="22.28515625" style="179" customWidth="1"/>
    <col min="6663" max="6912" width="9.140625" style="179"/>
    <col min="6913" max="6913" width="2" style="179" customWidth="1"/>
    <col min="6914" max="6914" width="22.42578125" style="179" customWidth="1"/>
    <col min="6915" max="6915" width="11.7109375" style="179" customWidth="1"/>
    <col min="6916" max="6916" width="10.42578125" style="179" customWidth="1"/>
    <col min="6917" max="6917" width="11.140625" style="179" customWidth="1"/>
    <col min="6918" max="6918" width="22.28515625" style="179" customWidth="1"/>
    <col min="6919" max="7168" width="9.140625" style="179"/>
    <col min="7169" max="7169" width="2" style="179" customWidth="1"/>
    <col min="7170" max="7170" width="22.42578125" style="179" customWidth="1"/>
    <col min="7171" max="7171" width="11.7109375" style="179" customWidth="1"/>
    <col min="7172" max="7172" width="10.42578125" style="179" customWidth="1"/>
    <col min="7173" max="7173" width="11.140625" style="179" customWidth="1"/>
    <col min="7174" max="7174" width="22.28515625" style="179" customWidth="1"/>
    <col min="7175" max="7424" width="9.140625" style="179"/>
    <col min="7425" max="7425" width="2" style="179" customWidth="1"/>
    <col min="7426" max="7426" width="22.42578125" style="179" customWidth="1"/>
    <col min="7427" max="7427" width="11.7109375" style="179" customWidth="1"/>
    <col min="7428" max="7428" width="10.42578125" style="179" customWidth="1"/>
    <col min="7429" max="7429" width="11.140625" style="179" customWidth="1"/>
    <col min="7430" max="7430" width="22.28515625" style="179" customWidth="1"/>
    <col min="7431" max="7680" width="9.140625" style="179"/>
    <col min="7681" max="7681" width="2" style="179" customWidth="1"/>
    <col min="7682" max="7682" width="22.42578125" style="179" customWidth="1"/>
    <col min="7683" max="7683" width="11.7109375" style="179" customWidth="1"/>
    <col min="7684" max="7684" width="10.42578125" style="179" customWidth="1"/>
    <col min="7685" max="7685" width="11.140625" style="179" customWidth="1"/>
    <col min="7686" max="7686" width="22.28515625" style="179" customWidth="1"/>
    <col min="7687" max="7936" width="9.140625" style="179"/>
    <col min="7937" max="7937" width="2" style="179" customWidth="1"/>
    <col min="7938" max="7938" width="22.42578125" style="179" customWidth="1"/>
    <col min="7939" max="7939" width="11.7109375" style="179" customWidth="1"/>
    <col min="7940" max="7940" width="10.42578125" style="179" customWidth="1"/>
    <col min="7941" max="7941" width="11.140625" style="179" customWidth="1"/>
    <col min="7942" max="7942" width="22.28515625" style="179" customWidth="1"/>
    <col min="7943" max="8192" width="9.140625" style="179"/>
    <col min="8193" max="8193" width="2" style="179" customWidth="1"/>
    <col min="8194" max="8194" width="22.42578125" style="179" customWidth="1"/>
    <col min="8195" max="8195" width="11.7109375" style="179" customWidth="1"/>
    <col min="8196" max="8196" width="10.42578125" style="179" customWidth="1"/>
    <col min="8197" max="8197" width="11.140625" style="179" customWidth="1"/>
    <col min="8198" max="8198" width="22.28515625" style="179" customWidth="1"/>
    <col min="8199" max="8448" width="9.140625" style="179"/>
    <col min="8449" max="8449" width="2" style="179" customWidth="1"/>
    <col min="8450" max="8450" width="22.42578125" style="179" customWidth="1"/>
    <col min="8451" max="8451" width="11.7109375" style="179" customWidth="1"/>
    <col min="8452" max="8452" width="10.42578125" style="179" customWidth="1"/>
    <col min="8453" max="8453" width="11.140625" style="179" customWidth="1"/>
    <col min="8454" max="8454" width="22.28515625" style="179" customWidth="1"/>
    <col min="8455" max="8704" width="9.140625" style="179"/>
    <col min="8705" max="8705" width="2" style="179" customWidth="1"/>
    <col min="8706" max="8706" width="22.42578125" style="179" customWidth="1"/>
    <col min="8707" max="8707" width="11.7109375" style="179" customWidth="1"/>
    <col min="8708" max="8708" width="10.42578125" style="179" customWidth="1"/>
    <col min="8709" max="8709" width="11.140625" style="179" customWidth="1"/>
    <col min="8710" max="8710" width="22.28515625" style="179" customWidth="1"/>
    <col min="8711" max="8960" width="9.140625" style="179"/>
    <col min="8961" max="8961" width="2" style="179" customWidth="1"/>
    <col min="8962" max="8962" width="22.42578125" style="179" customWidth="1"/>
    <col min="8963" max="8963" width="11.7109375" style="179" customWidth="1"/>
    <col min="8964" max="8964" width="10.42578125" style="179" customWidth="1"/>
    <col min="8965" max="8965" width="11.140625" style="179" customWidth="1"/>
    <col min="8966" max="8966" width="22.28515625" style="179" customWidth="1"/>
    <col min="8967" max="9216" width="9.140625" style="179"/>
    <col min="9217" max="9217" width="2" style="179" customWidth="1"/>
    <col min="9218" max="9218" width="22.42578125" style="179" customWidth="1"/>
    <col min="9219" max="9219" width="11.7109375" style="179" customWidth="1"/>
    <col min="9220" max="9220" width="10.42578125" style="179" customWidth="1"/>
    <col min="9221" max="9221" width="11.140625" style="179" customWidth="1"/>
    <col min="9222" max="9222" width="22.28515625" style="179" customWidth="1"/>
    <col min="9223" max="9472" width="9.140625" style="179"/>
    <col min="9473" max="9473" width="2" style="179" customWidth="1"/>
    <col min="9474" max="9474" width="22.42578125" style="179" customWidth="1"/>
    <col min="9475" max="9475" width="11.7109375" style="179" customWidth="1"/>
    <col min="9476" max="9476" width="10.42578125" style="179" customWidth="1"/>
    <col min="9477" max="9477" width="11.140625" style="179" customWidth="1"/>
    <col min="9478" max="9478" width="22.28515625" style="179" customWidth="1"/>
    <col min="9479" max="9728" width="9.140625" style="179"/>
    <col min="9729" max="9729" width="2" style="179" customWidth="1"/>
    <col min="9730" max="9730" width="22.42578125" style="179" customWidth="1"/>
    <col min="9731" max="9731" width="11.7109375" style="179" customWidth="1"/>
    <col min="9732" max="9732" width="10.42578125" style="179" customWidth="1"/>
    <col min="9733" max="9733" width="11.140625" style="179" customWidth="1"/>
    <col min="9734" max="9734" width="22.28515625" style="179" customWidth="1"/>
    <col min="9735" max="9984" width="9.140625" style="179"/>
    <col min="9985" max="9985" width="2" style="179" customWidth="1"/>
    <col min="9986" max="9986" width="22.42578125" style="179" customWidth="1"/>
    <col min="9987" max="9987" width="11.7109375" style="179" customWidth="1"/>
    <col min="9988" max="9988" width="10.42578125" style="179" customWidth="1"/>
    <col min="9989" max="9989" width="11.140625" style="179" customWidth="1"/>
    <col min="9990" max="9990" width="22.28515625" style="179" customWidth="1"/>
    <col min="9991" max="10240" width="9.140625" style="179"/>
    <col min="10241" max="10241" width="2" style="179" customWidth="1"/>
    <col min="10242" max="10242" width="22.42578125" style="179" customWidth="1"/>
    <col min="10243" max="10243" width="11.7109375" style="179" customWidth="1"/>
    <col min="10244" max="10244" width="10.42578125" style="179" customWidth="1"/>
    <col min="10245" max="10245" width="11.140625" style="179" customWidth="1"/>
    <col min="10246" max="10246" width="22.28515625" style="179" customWidth="1"/>
    <col min="10247" max="10496" width="9.140625" style="179"/>
    <col min="10497" max="10497" width="2" style="179" customWidth="1"/>
    <col min="10498" max="10498" width="22.42578125" style="179" customWidth="1"/>
    <col min="10499" max="10499" width="11.7109375" style="179" customWidth="1"/>
    <col min="10500" max="10500" width="10.42578125" style="179" customWidth="1"/>
    <col min="10501" max="10501" width="11.140625" style="179" customWidth="1"/>
    <col min="10502" max="10502" width="22.28515625" style="179" customWidth="1"/>
    <col min="10503" max="10752" width="9.140625" style="179"/>
    <col min="10753" max="10753" width="2" style="179" customWidth="1"/>
    <col min="10754" max="10754" width="22.42578125" style="179" customWidth="1"/>
    <col min="10755" max="10755" width="11.7109375" style="179" customWidth="1"/>
    <col min="10756" max="10756" width="10.42578125" style="179" customWidth="1"/>
    <col min="10757" max="10757" width="11.140625" style="179" customWidth="1"/>
    <col min="10758" max="10758" width="22.28515625" style="179" customWidth="1"/>
    <col min="10759" max="11008" width="9.140625" style="179"/>
    <col min="11009" max="11009" width="2" style="179" customWidth="1"/>
    <col min="11010" max="11010" width="22.42578125" style="179" customWidth="1"/>
    <col min="11011" max="11011" width="11.7109375" style="179" customWidth="1"/>
    <col min="11012" max="11012" width="10.42578125" style="179" customWidth="1"/>
    <col min="11013" max="11013" width="11.140625" style="179" customWidth="1"/>
    <col min="11014" max="11014" width="22.28515625" style="179" customWidth="1"/>
    <col min="11015" max="11264" width="9.140625" style="179"/>
    <col min="11265" max="11265" width="2" style="179" customWidth="1"/>
    <col min="11266" max="11266" width="22.42578125" style="179" customWidth="1"/>
    <col min="11267" max="11267" width="11.7109375" style="179" customWidth="1"/>
    <col min="11268" max="11268" width="10.42578125" style="179" customWidth="1"/>
    <col min="11269" max="11269" width="11.140625" style="179" customWidth="1"/>
    <col min="11270" max="11270" width="22.28515625" style="179" customWidth="1"/>
    <col min="11271" max="11520" width="9.140625" style="179"/>
    <col min="11521" max="11521" width="2" style="179" customWidth="1"/>
    <col min="11522" max="11522" width="22.42578125" style="179" customWidth="1"/>
    <col min="11523" max="11523" width="11.7109375" style="179" customWidth="1"/>
    <col min="11524" max="11524" width="10.42578125" style="179" customWidth="1"/>
    <col min="11525" max="11525" width="11.140625" style="179" customWidth="1"/>
    <col min="11526" max="11526" width="22.28515625" style="179" customWidth="1"/>
    <col min="11527" max="11776" width="9.140625" style="179"/>
    <col min="11777" max="11777" width="2" style="179" customWidth="1"/>
    <col min="11778" max="11778" width="22.42578125" style="179" customWidth="1"/>
    <col min="11779" max="11779" width="11.7109375" style="179" customWidth="1"/>
    <col min="11780" max="11780" width="10.42578125" style="179" customWidth="1"/>
    <col min="11781" max="11781" width="11.140625" style="179" customWidth="1"/>
    <col min="11782" max="11782" width="22.28515625" style="179" customWidth="1"/>
    <col min="11783" max="12032" width="9.140625" style="179"/>
    <col min="12033" max="12033" width="2" style="179" customWidth="1"/>
    <col min="12034" max="12034" width="22.42578125" style="179" customWidth="1"/>
    <col min="12035" max="12035" width="11.7109375" style="179" customWidth="1"/>
    <col min="12036" max="12036" width="10.42578125" style="179" customWidth="1"/>
    <col min="12037" max="12037" width="11.140625" style="179" customWidth="1"/>
    <col min="12038" max="12038" width="22.28515625" style="179" customWidth="1"/>
    <col min="12039" max="12288" width="9.140625" style="179"/>
    <col min="12289" max="12289" width="2" style="179" customWidth="1"/>
    <col min="12290" max="12290" width="22.42578125" style="179" customWidth="1"/>
    <col min="12291" max="12291" width="11.7109375" style="179" customWidth="1"/>
    <col min="12292" max="12292" width="10.42578125" style="179" customWidth="1"/>
    <col min="12293" max="12293" width="11.140625" style="179" customWidth="1"/>
    <col min="12294" max="12294" width="22.28515625" style="179" customWidth="1"/>
    <col min="12295" max="12544" width="9.140625" style="179"/>
    <col min="12545" max="12545" width="2" style="179" customWidth="1"/>
    <col min="12546" max="12546" width="22.42578125" style="179" customWidth="1"/>
    <col min="12547" max="12547" width="11.7109375" style="179" customWidth="1"/>
    <col min="12548" max="12548" width="10.42578125" style="179" customWidth="1"/>
    <col min="12549" max="12549" width="11.140625" style="179" customWidth="1"/>
    <col min="12550" max="12550" width="22.28515625" style="179" customWidth="1"/>
    <col min="12551" max="12800" width="9.140625" style="179"/>
    <col min="12801" max="12801" width="2" style="179" customWidth="1"/>
    <col min="12802" max="12802" width="22.42578125" style="179" customWidth="1"/>
    <col min="12803" max="12803" width="11.7109375" style="179" customWidth="1"/>
    <col min="12804" max="12804" width="10.42578125" style="179" customWidth="1"/>
    <col min="12805" max="12805" width="11.140625" style="179" customWidth="1"/>
    <col min="12806" max="12806" width="22.28515625" style="179" customWidth="1"/>
    <col min="12807" max="13056" width="9.140625" style="179"/>
    <col min="13057" max="13057" width="2" style="179" customWidth="1"/>
    <col min="13058" max="13058" width="22.42578125" style="179" customWidth="1"/>
    <col min="13059" max="13059" width="11.7109375" style="179" customWidth="1"/>
    <col min="13060" max="13060" width="10.42578125" style="179" customWidth="1"/>
    <col min="13061" max="13061" width="11.140625" style="179" customWidth="1"/>
    <col min="13062" max="13062" width="22.28515625" style="179" customWidth="1"/>
    <col min="13063" max="13312" width="9.140625" style="179"/>
    <col min="13313" max="13313" width="2" style="179" customWidth="1"/>
    <col min="13314" max="13314" width="22.42578125" style="179" customWidth="1"/>
    <col min="13315" max="13315" width="11.7109375" style="179" customWidth="1"/>
    <col min="13316" max="13316" width="10.42578125" style="179" customWidth="1"/>
    <col min="13317" max="13317" width="11.140625" style="179" customWidth="1"/>
    <col min="13318" max="13318" width="22.28515625" style="179" customWidth="1"/>
    <col min="13319" max="13568" width="9.140625" style="179"/>
    <col min="13569" max="13569" width="2" style="179" customWidth="1"/>
    <col min="13570" max="13570" width="22.42578125" style="179" customWidth="1"/>
    <col min="13571" max="13571" width="11.7109375" style="179" customWidth="1"/>
    <col min="13572" max="13572" width="10.42578125" style="179" customWidth="1"/>
    <col min="13573" max="13573" width="11.140625" style="179" customWidth="1"/>
    <col min="13574" max="13574" width="22.28515625" style="179" customWidth="1"/>
    <col min="13575" max="13824" width="9.140625" style="179"/>
    <col min="13825" max="13825" width="2" style="179" customWidth="1"/>
    <col min="13826" max="13826" width="22.42578125" style="179" customWidth="1"/>
    <col min="13827" max="13827" width="11.7109375" style="179" customWidth="1"/>
    <col min="13828" max="13828" width="10.42578125" style="179" customWidth="1"/>
    <col min="13829" max="13829" width="11.140625" style="179" customWidth="1"/>
    <col min="13830" max="13830" width="22.28515625" style="179" customWidth="1"/>
    <col min="13831" max="14080" width="9.140625" style="179"/>
    <col min="14081" max="14081" width="2" style="179" customWidth="1"/>
    <col min="14082" max="14082" width="22.42578125" style="179" customWidth="1"/>
    <col min="14083" max="14083" width="11.7109375" style="179" customWidth="1"/>
    <col min="14084" max="14084" width="10.42578125" style="179" customWidth="1"/>
    <col min="14085" max="14085" width="11.140625" style="179" customWidth="1"/>
    <col min="14086" max="14086" width="22.28515625" style="179" customWidth="1"/>
    <col min="14087" max="14336" width="9.140625" style="179"/>
    <col min="14337" max="14337" width="2" style="179" customWidth="1"/>
    <col min="14338" max="14338" width="22.42578125" style="179" customWidth="1"/>
    <col min="14339" max="14339" width="11.7109375" style="179" customWidth="1"/>
    <col min="14340" max="14340" width="10.42578125" style="179" customWidth="1"/>
    <col min="14341" max="14341" width="11.140625" style="179" customWidth="1"/>
    <col min="14342" max="14342" width="22.28515625" style="179" customWidth="1"/>
    <col min="14343" max="14592" width="9.140625" style="179"/>
    <col min="14593" max="14593" width="2" style="179" customWidth="1"/>
    <col min="14594" max="14594" width="22.42578125" style="179" customWidth="1"/>
    <col min="14595" max="14595" width="11.7109375" style="179" customWidth="1"/>
    <col min="14596" max="14596" width="10.42578125" style="179" customWidth="1"/>
    <col min="14597" max="14597" width="11.140625" style="179" customWidth="1"/>
    <col min="14598" max="14598" width="22.28515625" style="179" customWidth="1"/>
    <col min="14599" max="14848" width="9.140625" style="179"/>
    <col min="14849" max="14849" width="2" style="179" customWidth="1"/>
    <col min="14850" max="14850" width="22.42578125" style="179" customWidth="1"/>
    <col min="14851" max="14851" width="11.7109375" style="179" customWidth="1"/>
    <col min="14852" max="14852" width="10.42578125" style="179" customWidth="1"/>
    <col min="14853" max="14853" width="11.140625" style="179" customWidth="1"/>
    <col min="14854" max="14854" width="22.28515625" style="179" customWidth="1"/>
    <col min="14855" max="15104" width="9.140625" style="179"/>
    <col min="15105" max="15105" width="2" style="179" customWidth="1"/>
    <col min="15106" max="15106" width="22.42578125" style="179" customWidth="1"/>
    <col min="15107" max="15107" width="11.7109375" style="179" customWidth="1"/>
    <col min="15108" max="15108" width="10.42578125" style="179" customWidth="1"/>
    <col min="15109" max="15109" width="11.140625" style="179" customWidth="1"/>
    <col min="15110" max="15110" width="22.28515625" style="179" customWidth="1"/>
    <col min="15111" max="15360" width="9.140625" style="179"/>
    <col min="15361" max="15361" width="2" style="179" customWidth="1"/>
    <col min="15362" max="15362" width="22.42578125" style="179" customWidth="1"/>
    <col min="15363" max="15363" width="11.7109375" style="179" customWidth="1"/>
    <col min="15364" max="15364" width="10.42578125" style="179" customWidth="1"/>
    <col min="15365" max="15365" width="11.140625" style="179" customWidth="1"/>
    <col min="15366" max="15366" width="22.28515625" style="179" customWidth="1"/>
    <col min="15367" max="15616" width="9.140625" style="179"/>
    <col min="15617" max="15617" width="2" style="179" customWidth="1"/>
    <col min="15618" max="15618" width="22.42578125" style="179" customWidth="1"/>
    <col min="15619" max="15619" width="11.7109375" style="179" customWidth="1"/>
    <col min="15620" max="15620" width="10.42578125" style="179" customWidth="1"/>
    <col min="15621" max="15621" width="11.140625" style="179" customWidth="1"/>
    <col min="15622" max="15622" width="22.28515625" style="179" customWidth="1"/>
    <col min="15623" max="15872" width="9.140625" style="179"/>
    <col min="15873" max="15873" width="2" style="179" customWidth="1"/>
    <col min="15874" max="15874" width="22.42578125" style="179" customWidth="1"/>
    <col min="15875" max="15875" width="11.7109375" style="179" customWidth="1"/>
    <col min="15876" max="15876" width="10.42578125" style="179" customWidth="1"/>
    <col min="15877" max="15877" width="11.140625" style="179" customWidth="1"/>
    <col min="15878" max="15878" width="22.28515625" style="179" customWidth="1"/>
    <col min="15879" max="16128" width="9.140625" style="179"/>
    <col min="16129" max="16129" width="2" style="179" customWidth="1"/>
    <col min="16130" max="16130" width="22.42578125" style="179" customWidth="1"/>
    <col min="16131" max="16131" width="11.7109375" style="179" customWidth="1"/>
    <col min="16132" max="16132" width="10.42578125" style="179" customWidth="1"/>
    <col min="16133" max="16133" width="11.140625" style="179" customWidth="1"/>
    <col min="16134" max="16134" width="22.28515625" style="179" customWidth="1"/>
    <col min="16135" max="16384" width="9.140625" style="179"/>
  </cols>
  <sheetData>
    <row r="2" spans="2:6" ht="15.75">
      <c r="B2" s="60" t="s">
        <v>74</v>
      </c>
      <c r="C2" s="219" t="s">
        <v>76</v>
      </c>
      <c r="D2" s="219"/>
    </row>
    <row r="5" spans="2:6">
      <c r="B5" s="220" t="s">
        <v>97</v>
      </c>
      <c r="C5" s="220" t="s">
        <v>94</v>
      </c>
      <c r="D5" s="184" t="s">
        <v>90</v>
      </c>
      <c r="E5" s="184" t="s">
        <v>106</v>
      </c>
      <c r="F5" s="220" t="s">
        <v>107</v>
      </c>
    </row>
    <row r="6" spans="2:6">
      <c r="B6" s="221"/>
      <c r="C6" s="221"/>
      <c r="D6" s="186" t="s">
        <v>101</v>
      </c>
      <c r="E6" s="186" t="s">
        <v>77</v>
      </c>
      <c r="F6" s="221"/>
    </row>
    <row r="7" spans="2:6">
      <c r="B7" s="182" t="s">
        <v>98</v>
      </c>
      <c r="C7" s="180" t="s">
        <v>95</v>
      </c>
      <c r="D7" s="187">
        <v>78.900000000000006</v>
      </c>
      <c r="E7" s="187">
        <v>90.2</v>
      </c>
      <c r="F7" s="188">
        <f>D7+(100-D7)*E7/100</f>
        <v>97.932199999999995</v>
      </c>
    </row>
    <row r="8" spans="2:6">
      <c r="B8" s="183"/>
      <c r="C8" s="189" t="s">
        <v>96</v>
      </c>
      <c r="D8" s="181">
        <v>21.1</v>
      </c>
      <c r="E8" s="202">
        <v>9.8000000000000007</v>
      </c>
      <c r="F8" s="190">
        <f>100-F7</f>
        <v>2.0678000000000054</v>
      </c>
    </row>
    <row r="9" spans="2:6" ht="14.25" customHeight="1">
      <c r="B9" s="191"/>
      <c r="C9" s="185"/>
      <c r="D9" s="186" t="s">
        <v>102</v>
      </c>
      <c r="E9" s="184" t="s">
        <v>104</v>
      </c>
      <c r="F9" s="192"/>
    </row>
    <row r="10" spans="2:6">
      <c r="B10" s="182" t="s">
        <v>99</v>
      </c>
      <c r="C10" s="180" t="s">
        <v>95</v>
      </c>
      <c r="D10" s="194">
        <v>88.461708551700525</v>
      </c>
      <c r="E10" s="194">
        <v>82.849681222606662</v>
      </c>
      <c r="F10" s="188">
        <f>D10+(100-D10)*E10/100</f>
        <v>98.021146235151917</v>
      </c>
    </row>
    <row r="11" spans="2:6">
      <c r="B11" s="193"/>
      <c r="C11" s="189" t="s">
        <v>96</v>
      </c>
      <c r="D11" s="195">
        <v>11.538291448299482</v>
      </c>
      <c r="E11" s="195">
        <v>17.150318777393341</v>
      </c>
      <c r="F11" s="190">
        <f>100-F10</f>
        <v>1.9788537648480826</v>
      </c>
    </row>
    <row r="12" spans="2:6" ht="14.25" customHeight="1">
      <c r="B12" s="191"/>
      <c r="C12" s="185"/>
      <c r="D12" s="186" t="s">
        <v>103</v>
      </c>
      <c r="E12" s="184" t="s">
        <v>105</v>
      </c>
      <c r="F12" s="192"/>
    </row>
    <row r="13" spans="2:6">
      <c r="B13" s="182" t="s">
        <v>100</v>
      </c>
      <c r="C13" s="180" t="s">
        <v>95</v>
      </c>
      <c r="D13" s="194"/>
      <c r="E13" s="194"/>
      <c r="F13" s="188">
        <f>D13+(100-D13)*E13/100</f>
        <v>0</v>
      </c>
    </row>
    <row r="14" spans="2:6">
      <c r="B14" s="193"/>
      <c r="C14" s="189" t="s">
        <v>96</v>
      </c>
      <c r="D14" s="195"/>
      <c r="E14" s="195"/>
      <c r="F14" s="190">
        <f>100-F13</f>
        <v>100</v>
      </c>
    </row>
  </sheetData>
  <mergeCells count="4">
    <mergeCell ref="F5:F6"/>
    <mergeCell ref="C5:C6"/>
    <mergeCell ref="B5:B6"/>
    <mergeCell ref="C2:D2"/>
  </mergeCells>
  <conditionalFormatting sqref="C2:D2">
    <cfRule type="cellIs" dxfId="55" priority="1" stopIfTrue="1"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16" zoomScale="75" zoomScaleNormal="75" zoomScaleSheetLayoutView="75" workbookViewId="0">
      <selection activeCell="D41" sqref="D41"/>
    </sheetView>
  </sheetViews>
  <sheetFormatPr defaultColWidth="12.85546875" defaultRowHeight="15.75"/>
  <cols>
    <col min="1" max="1" width="15.5703125" style="1" customWidth="1"/>
    <col min="2"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19" t="s">
        <v>77</v>
      </c>
      <c r="C1" s="219"/>
      <c r="F1" s="60" t="s">
        <v>74</v>
      </c>
      <c r="G1" s="219" t="s">
        <v>76</v>
      </c>
      <c r="H1" s="219"/>
      <c r="K1" s="156"/>
      <c r="L1" s="156"/>
      <c r="M1" s="156" t="s">
        <v>73</v>
      </c>
      <c r="N1" s="237">
        <v>41898</v>
      </c>
      <c r="O1" s="237"/>
      <c r="P1" s="153"/>
      <c r="Q1" s="152"/>
      <c r="R1" s="151"/>
      <c r="T1" s="150"/>
      <c r="V1" s="118"/>
      <c r="W1" s="118"/>
      <c r="AA1" s="1" t="s">
        <v>72</v>
      </c>
    </row>
    <row r="2" spans="1:27" ht="17.100000000000001" customHeight="1">
      <c r="A2" s="60"/>
      <c r="D2" s="60"/>
      <c r="E2" s="150"/>
      <c r="F2" s="157"/>
      <c r="G2" s="150"/>
      <c r="I2" s="156"/>
      <c r="J2" s="156"/>
      <c r="K2" s="156"/>
      <c r="L2" s="156"/>
      <c r="M2" s="60"/>
      <c r="N2" s="64"/>
      <c r="O2" s="7"/>
      <c r="P2" s="153"/>
      <c r="Q2" s="152"/>
      <c r="R2" s="151"/>
      <c r="T2" s="150"/>
      <c r="V2" s="118"/>
      <c r="W2" s="118"/>
      <c r="AA2" s="1" t="s">
        <v>71</v>
      </c>
    </row>
    <row r="3" spans="1:27" ht="17.100000000000001" customHeight="1">
      <c r="A3" s="60" t="s">
        <v>70</v>
      </c>
      <c r="B3" s="155" t="s">
        <v>82</v>
      </c>
      <c r="C3" s="145"/>
      <c r="D3" s="145"/>
      <c r="E3" s="145"/>
      <c r="F3" s="145"/>
      <c r="G3" s="145"/>
      <c r="H3" s="145"/>
      <c r="I3" s="145"/>
      <c r="J3" s="145"/>
      <c r="K3" s="145"/>
      <c r="L3" s="145"/>
      <c r="M3" s="145"/>
      <c r="N3" s="145"/>
      <c r="O3" s="145"/>
      <c r="P3" s="153"/>
      <c r="Q3" s="152"/>
      <c r="R3" s="151"/>
      <c r="T3" s="150"/>
      <c r="V3" s="118"/>
      <c r="W3" s="118"/>
    </row>
    <row r="4" spans="1:27" ht="17.100000000000001" customHeight="1">
      <c r="A4" s="60"/>
      <c r="B4" s="60"/>
      <c r="C4" s="150"/>
      <c r="D4" s="150"/>
      <c r="E4" s="60"/>
      <c r="F4" s="130"/>
      <c r="G4" s="60"/>
      <c r="H4" s="60"/>
      <c r="I4" s="130"/>
      <c r="J4" s="154"/>
      <c r="N4" s="7"/>
      <c r="O4" s="7"/>
      <c r="P4" s="153"/>
      <c r="Q4" s="152"/>
      <c r="R4" s="151"/>
      <c r="T4" s="150"/>
      <c r="V4" s="118"/>
      <c r="W4" s="118"/>
    </row>
    <row r="5" spans="1:27" ht="17.100000000000001" customHeight="1">
      <c r="A5" s="149" t="s">
        <v>69</v>
      </c>
      <c r="B5" s="219" t="s">
        <v>80</v>
      </c>
      <c r="C5" s="219"/>
      <c r="D5" s="219"/>
      <c r="E5" s="219"/>
      <c r="F5" s="219"/>
      <c r="G5" s="219"/>
      <c r="H5" s="219"/>
      <c r="I5" s="219"/>
      <c r="J5" s="219"/>
      <c r="K5" s="219"/>
      <c r="L5" s="219"/>
      <c r="M5" s="219"/>
      <c r="N5" s="219"/>
      <c r="O5" s="219"/>
      <c r="P5" s="7"/>
      <c r="Q5" s="7"/>
      <c r="S5" s="118"/>
      <c r="T5" s="118"/>
      <c r="V5" s="118"/>
      <c r="W5" s="118"/>
    </row>
    <row r="6" spans="1:27" ht="17.100000000000001" customHeight="1">
      <c r="A6" s="64"/>
      <c r="B6" s="61"/>
      <c r="C6" s="61"/>
      <c r="D6" s="61"/>
      <c r="E6" s="61"/>
      <c r="F6" s="61"/>
      <c r="G6" s="61"/>
      <c r="H6" s="61"/>
      <c r="I6" s="61"/>
      <c r="J6" s="61"/>
      <c r="M6" s="7"/>
      <c r="N6" s="7"/>
      <c r="O6" s="7"/>
      <c r="P6" s="7"/>
      <c r="Q6" s="7"/>
      <c r="S6" s="118"/>
      <c r="T6" s="57"/>
      <c r="V6" s="118"/>
      <c r="W6" s="118"/>
    </row>
    <row r="7" spans="1:27" s="145" customFormat="1" ht="65.25" customHeight="1">
      <c r="A7" s="148" t="s">
        <v>68</v>
      </c>
      <c r="B7" s="219" t="s">
        <v>81</v>
      </c>
      <c r="C7" s="219"/>
      <c r="D7" s="219"/>
      <c r="E7" s="219"/>
      <c r="F7" s="219"/>
      <c r="G7" s="219"/>
      <c r="H7" s="219"/>
      <c r="I7" s="219"/>
      <c r="J7" s="219"/>
      <c r="K7" s="219"/>
      <c r="L7" s="219"/>
      <c r="M7" s="219"/>
      <c r="N7" s="219"/>
      <c r="O7" s="219"/>
      <c r="P7" s="147"/>
      <c r="Q7" s="147"/>
      <c r="S7" s="146"/>
      <c r="T7" s="146"/>
      <c r="U7" s="146"/>
      <c r="V7" s="146"/>
      <c r="W7" s="146"/>
    </row>
    <row r="8" spans="1:27" ht="17.100000000000001" customHeight="1">
      <c r="A8" s="64"/>
      <c r="B8" s="145"/>
      <c r="C8" s="145"/>
      <c r="D8" s="145"/>
      <c r="E8" s="145"/>
      <c r="F8" s="145"/>
      <c r="G8" s="145"/>
      <c r="H8" s="145"/>
      <c r="I8" s="145"/>
      <c r="J8" s="145"/>
      <c r="K8" s="7"/>
      <c r="L8" s="7"/>
      <c r="O8" s="128"/>
      <c r="R8" s="118"/>
      <c r="S8" s="120"/>
      <c r="T8" s="120"/>
      <c r="U8" s="120"/>
      <c r="V8" s="120"/>
      <c r="W8" s="120"/>
    </row>
    <row r="9" spans="1:27" ht="17.100000000000001" customHeight="1">
      <c r="A9" s="226" t="s">
        <v>67</v>
      </c>
      <c r="B9" s="226"/>
      <c r="C9" s="126">
        <v>1000</v>
      </c>
      <c r="D9" s="133" t="str">
        <f>"g of "&amp;B3</f>
        <v>g of GR-1(BS-3A13-03) Gravity Tails</v>
      </c>
      <c r="E9" s="144"/>
      <c r="F9" s="143"/>
      <c r="H9" s="137" t="s">
        <v>66</v>
      </c>
      <c r="I9" s="124" t="s">
        <v>65</v>
      </c>
      <c r="J9" s="142" t="s">
        <v>64</v>
      </c>
      <c r="K9" s="142"/>
      <c r="L9" s="142"/>
      <c r="M9" s="7"/>
      <c r="O9" s="7"/>
      <c r="R9" s="118"/>
      <c r="T9" s="141"/>
      <c r="U9" s="120"/>
      <c r="V9" s="120"/>
      <c r="W9" s="120"/>
    </row>
    <row r="10" spans="1:27" ht="17.100000000000001" customHeight="1">
      <c r="A10" s="226" t="s">
        <v>63</v>
      </c>
      <c r="B10" s="226"/>
      <c r="C10" s="140">
        <v>0.4</v>
      </c>
      <c r="D10" s="133" t="s">
        <v>62</v>
      </c>
      <c r="E10" s="61"/>
      <c r="F10" s="61"/>
      <c r="H10" s="137" t="s">
        <v>61</v>
      </c>
      <c r="I10" s="126">
        <v>0</v>
      </c>
      <c r="J10" s="134" t="s">
        <v>60</v>
      </c>
      <c r="M10" s="132" t="str">
        <f>IF(I10&lt;=0,"","Pb(NO3)2 Added:")</f>
        <v/>
      </c>
      <c r="N10" s="139" t="str">
        <f>IF(I10&lt;=0,"",I10*C9/1000/1000&amp;" g")</f>
        <v/>
      </c>
      <c r="O10" s="138"/>
      <c r="T10" s="57"/>
      <c r="V10" s="118"/>
      <c r="W10" s="118"/>
    </row>
    <row r="11" spans="1:27" ht="17.100000000000001" customHeight="1">
      <c r="A11" s="226" t="s">
        <v>59</v>
      </c>
      <c r="B11" s="226"/>
      <c r="C11" s="126">
        <f>IF(C10="","",(C9/C10)-C9)</f>
        <v>1500</v>
      </c>
      <c r="D11" s="133" t="s">
        <v>58</v>
      </c>
      <c r="F11" s="61"/>
      <c r="H11" s="137" t="s">
        <v>57</v>
      </c>
      <c r="I11" s="136">
        <v>0.5</v>
      </c>
      <c r="J11" s="135" t="s">
        <v>56</v>
      </c>
      <c r="K11" s="134"/>
      <c r="L11" s="134"/>
      <c r="R11" s="118"/>
      <c r="T11" s="120"/>
      <c r="U11" s="120"/>
      <c r="V11" s="120"/>
      <c r="W11" s="120"/>
    </row>
    <row r="12" spans="1:27" ht="17.100000000000001" customHeight="1">
      <c r="A12" s="226" t="s">
        <v>55</v>
      </c>
      <c r="B12" s="226"/>
      <c r="C12" s="126">
        <f>IF(C10="","",$M$18+$C$9+$C$11)</f>
        <v>3512</v>
      </c>
      <c r="D12" s="133" t="s">
        <v>41</v>
      </c>
      <c r="E12" s="61"/>
      <c r="F12" s="61"/>
      <c r="H12" s="132" t="str">
        <f>IF(I11&lt;=0,"","Target Additon:")</f>
        <v>Target Additon:</v>
      </c>
      <c r="I12" s="131">
        <f>IF(I11&lt;=0,"",I11*C11/I13/1000)</f>
        <v>0.75834175935288173</v>
      </c>
      <c r="Q12" s="7"/>
      <c r="T12" s="57"/>
      <c r="V12" s="118"/>
      <c r="W12" s="118"/>
    </row>
    <row r="13" spans="1:27" ht="17.100000000000001" customHeight="1">
      <c r="A13" s="123"/>
      <c r="G13" s="61"/>
      <c r="H13" s="130" t="s">
        <v>54</v>
      </c>
      <c r="I13" s="129">
        <v>0.98899999999999999</v>
      </c>
      <c r="J13" s="61"/>
      <c r="P13" s="128"/>
      <c r="Q13" s="127"/>
      <c r="R13" s="118"/>
      <c r="T13" s="120"/>
      <c r="U13" s="120"/>
      <c r="V13" s="120"/>
      <c r="W13" s="120"/>
    </row>
    <row r="14" spans="1:27" ht="17.100000000000001" customHeight="1">
      <c r="A14" s="123"/>
      <c r="B14" s="123"/>
      <c r="E14" s="61"/>
      <c r="F14" s="61"/>
      <c r="G14" s="61"/>
      <c r="H14" s="124"/>
      <c r="I14" s="123"/>
      <c r="J14" s="61"/>
      <c r="K14" s="61"/>
      <c r="L14" s="61"/>
      <c r="P14" s="128"/>
      <c r="Q14" s="127"/>
      <c r="R14" s="118"/>
      <c r="T14" s="120"/>
      <c r="U14" s="120"/>
      <c r="V14" s="120"/>
      <c r="W14" s="120"/>
    </row>
    <row r="15" spans="1:27" ht="17.100000000000001" customHeight="1">
      <c r="A15" s="226" t="s">
        <v>53</v>
      </c>
      <c r="B15" s="226"/>
      <c r="C15" s="126">
        <v>1</v>
      </c>
      <c r="D15" s="8" t="s">
        <v>52</v>
      </c>
      <c r="E15" s="8">
        <v>25</v>
      </c>
      <c r="F15" s="125" t="s">
        <v>51</v>
      </c>
      <c r="G15" s="8" t="s">
        <v>108</v>
      </c>
      <c r="H15" s="118" t="s">
        <v>50</v>
      </c>
      <c r="I15" s="8">
        <v>50</v>
      </c>
      <c r="J15" s="1" t="s">
        <v>49</v>
      </c>
      <c r="R15" s="118"/>
      <c r="V15" s="118"/>
    </row>
    <row r="16" spans="1:27" ht="17.100000000000001" customHeight="1">
      <c r="A16" s="64"/>
      <c r="C16" s="61"/>
      <c r="D16" s="61"/>
      <c r="E16" s="61"/>
      <c r="F16" s="61"/>
      <c r="G16" s="61"/>
      <c r="P16" s="7"/>
      <c r="Q16" s="7"/>
      <c r="R16" s="7"/>
      <c r="T16" s="118"/>
      <c r="U16" s="57"/>
      <c r="V16" s="118"/>
      <c r="W16" s="118"/>
    </row>
    <row r="17" spans="1:25" ht="17.100000000000001" customHeight="1">
      <c r="B17" s="124" t="s">
        <v>48</v>
      </c>
      <c r="C17" s="8">
        <v>75</v>
      </c>
      <c r="D17" s="61" t="s">
        <v>44</v>
      </c>
      <c r="G17" s="123" t="s">
        <v>47</v>
      </c>
      <c r="H17" s="123" t="s">
        <v>72</v>
      </c>
      <c r="K17" s="222" t="s">
        <v>46</v>
      </c>
      <c r="L17" s="222"/>
      <c r="M17" s="122">
        <v>1</v>
      </c>
      <c r="P17" s="8"/>
      <c r="Q17" s="8"/>
      <c r="R17" s="8"/>
      <c r="T17" s="118"/>
      <c r="U17" s="57"/>
      <c r="V17" s="118"/>
      <c r="W17" s="118"/>
    </row>
    <row r="18" spans="1:25" ht="17.100000000000001" customHeight="1">
      <c r="B18" s="124" t="s">
        <v>45</v>
      </c>
      <c r="C18" s="8">
        <v>77</v>
      </c>
      <c r="D18" s="61" t="s">
        <v>44</v>
      </c>
      <c r="G18" s="123" t="s">
        <v>43</v>
      </c>
      <c r="H18" s="123" t="s">
        <v>71</v>
      </c>
      <c r="K18" s="223" t="s">
        <v>42</v>
      </c>
      <c r="L18" s="223"/>
      <c r="M18" s="122">
        <v>1012</v>
      </c>
      <c r="N18" s="57" t="s">
        <v>41</v>
      </c>
      <c r="P18" s="8"/>
      <c r="Q18" s="121"/>
      <c r="R18" s="121"/>
      <c r="S18" s="7"/>
    </row>
    <row r="19" spans="1:25" ht="17.100000000000001" customHeight="1">
      <c r="A19" s="7"/>
      <c r="B19" s="7"/>
      <c r="C19" s="7"/>
      <c r="D19" s="7"/>
      <c r="E19" s="7"/>
      <c r="F19" s="7"/>
      <c r="G19" s="7"/>
      <c r="H19" s="7"/>
      <c r="I19" s="7"/>
      <c r="J19" s="7"/>
      <c r="K19" s="118"/>
      <c r="L19" s="118"/>
      <c r="N19" s="8"/>
      <c r="O19" s="8"/>
      <c r="P19" s="8"/>
      <c r="Q19" s="121"/>
      <c r="R19" s="121"/>
      <c r="S19" s="7"/>
      <c r="T19" s="120"/>
      <c r="U19" s="120"/>
      <c r="V19" s="120"/>
      <c r="W19" s="120"/>
    </row>
    <row r="20" spans="1:25" ht="17.100000000000001" customHeight="1">
      <c r="A20" s="227" t="s">
        <v>40</v>
      </c>
      <c r="B20" s="224" t="s">
        <v>39</v>
      </c>
      <c r="C20" s="254"/>
      <c r="D20" s="254"/>
      <c r="E20" s="225"/>
      <c r="F20" s="224" t="s">
        <v>38</v>
      </c>
      <c r="G20" s="225"/>
      <c r="H20" s="224" t="s">
        <v>37</v>
      </c>
      <c r="I20" s="225"/>
      <c r="J20" s="260" t="s">
        <v>36</v>
      </c>
      <c r="K20" s="260" t="s">
        <v>35</v>
      </c>
      <c r="L20" s="227" t="s">
        <v>34</v>
      </c>
      <c r="M20" s="263" t="s">
        <v>33</v>
      </c>
      <c r="N20" s="258" t="s">
        <v>32</v>
      </c>
      <c r="O20" s="259"/>
      <c r="P20" s="251" t="s">
        <v>31</v>
      </c>
      <c r="Q20" s="227" t="s">
        <v>30</v>
      </c>
      <c r="R20" s="227" t="s">
        <v>29</v>
      </c>
      <c r="S20" s="227" t="s">
        <v>28</v>
      </c>
      <c r="T20" s="227" t="s">
        <v>27</v>
      </c>
      <c r="U20" s="232" t="s">
        <v>26</v>
      </c>
      <c r="V20" s="120"/>
      <c r="W20" s="120"/>
      <c r="X20" s="120"/>
    </row>
    <row r="21" spans="1:25" ht="17.100000000000001" customHeight="1">
      <c r="A21" s="228"/>
      <c r="B21" s="249" t="s">
        <v>25</v>
      </c>
      <c r="C21" s="250"/>
      <c r="D21" s="249" t="s">
        <v>24</v>
      </c>
      <c r="E21" s="250"/>
      <c r="F21" s="230" t="s">
        <v>1</v>
      </c>
      <c r="G21" s="239" t="s">
        <v>0</v>
      </c>
      <c r="H21" s="241" t="s">
        <v>1</v>
      </c>
      <c r="I21" s="243" t="s">
        <v>0</v>
      </c>
      <c r="J21" s="261"/>
      <c r="K21" s="261"/>
      <c r="L21" s="228"/>
      <c r="M21" s="264"/>
      <c r="N21" s="235" t="s">
        <v>23</v>
      </c>
      <c r="O21" s="119" t="s">
        <v>22</v>
      </c>
      <c r="P21" s="252"/>
      <c r="Q21" s="228"/>
      <c r="R21" s="228"/>
      <c r="S21" s="228"/>
      <c r="T21" s="228"/>
      <c r="U21" s="233"/>
      <c r="V21" s="118"/>
      <c r="W21" s="118"/>
      <c r="X21" s="118"/>
    </row>
    <row r="22" spans="1:25" ht="17.100000000000001" customHeight="1">
      <c r="A22" s="229"/>
      <c r="B22" s="116" t="s">
        <v>1</v>
      </c>
      <c r="C22" s="117" t="s">
        <v>21</v>
      </c>
      <c r="D22" s="116" t="s">
        <v>1</v>
      </c>
      <c r="E22" s="115" t="s">
        <v>0</v>
      </c>
      <c r="F22" s="231"/>
      <c r="G22" s="240"/>
      <c r="H22" s="242"/>
      <c r="I22" s="244"/>
      <c r="J22" s="262"/>
      <c r="K22" s="262"/>
      <c r="L22" s="229"/>
      <c r="M22" s="265"/>
      <c r="N22" s="236"/>
      <c r="O22" s="114"/>
      <c r="P22" s="253"/>
      <c r="Q22" s="229"/>
      <c r="R22" s="229"/>
      <c r="S22" s="229"/>
      <c r="T22" s="229"/>
      <c r="U22" s="234"/>
      <c r="V22" s="8"/>
      <c r="W22" s="8"/>
      <c r="X22" s="8"/>
    </row>
    <row r="23" spans="1:25" s="79" customFormat="1" ht="17.100000000000001" customHeight="1">
      <c r="A23" s="107"/>
      <c r="B23" s="112"/>
      <c r="C23" s="113"/>
      <c r="D23" s="112"/>
      <c r="E23" s="100"/>
      <c r="F23" s="112"/>
      <c r="G23" s="111"/>
      <c r="H23" s="112"/>
      <c r="I23" s="111"/>
      <c r="J23" s="99">
        <v>9.4</v>
      </c>
      <c r="K23" s="110"/>
      <c r="L23" s="110"/>
      <c r="M23" s="110"/>
      <c r="N23" s="109"/>
      <c r="O23" s="108"/>
      <c r="P23" s="107"/>
      <c r="Q23" s="107"/>
      <c r="R23" s="106"/>
      <c r="S23" s="106"/>
      <c r="T23" s="106"/>
      <c r="U23" s="106"/>
      <c r="V23" s="91"/>
      <c r="W23" s="91"/>
      <c r="X23" s="91"/>
    </row>
    <row r="24" spans="1:25" s="79" customFormat="1" ht="17.100000000000001" customHeight="1">
      <c r="A24" s="105" t="str">
        <f>"0-" &amp;R24</f>
        <v>0-2</v>
      </c>
      <c r="B24" s="102">
        <v>0.76</v>
      </c>
      <c r="C24" s="100">
        <v>0.28999999999999998</v>
      </c>
      <c r="D24" s="101">
        <f>B24*$I$13</f>
        <v>0.75163999999999997</v>
      </c>
      <c r="E24" s="100">
        <f>C24*0.74</f>
        <v>0.21459999999999999</v>
      </c>
      <c r="F24" s="101">
        <f>IF($M24=0,"",0.005*Q24*($M24-$M$18-$B$39)/$S24)</f>
        <v>0.76635615000000012</v>
      </c>
      <c r="G24" s="100">
        <f>IF($M24=0,"",0.001*P24*($M24-$M$18-$B$39)/$S24)</f>
        <v>0</v>
      </c>
      <c r="H24" s="101">
        <f>IF(F24="","",IF(D24-F24&lt;0,0,D24-F24))</f>
        <v>0</v>
      </c>
      <c r="I24" s="100" t="str">
        <f>IF(P24="","",IF(E24-G24&lt;0,0,E24-G24))</f>
        <v/>
      </c>
      <c r="J24" s="99">
        <v>10.9</v>
      </c>
      <c r="K24" s="98">
        <v>2.9</v>
      </c>
      <c r="L24" s="98"/>
      <c r="M24" s="97">
        <v>3515</v>
      </c>
      <c r="N24" s="104">
        <v>1.06</v>
      </c>
      <c r="O24" s="100">
        <v>1.05</v>
      </c>
      <c r="P24" s="92"/>
      <c r="Q24" s="94">
        <f>N24*O24</f>
        <v>1.1130000000000002</v>
      </c>
      <c r="R24" s="93">
        <v>2</v>
      </c>
      <c r="S24" s="92">
        <v>10</v>
      </c>
      <c r="T24" s="92">
        <v>30</v>
      </c>
      <c r="U24" s="92">
        <f>S24+T24</f>
        <v>40</v>
      </c>
      <c r="V24" s="91"/>
      <c r="W24" s="91"/>
      <c r="X24" s="91"/>
    </row>
    <row r="25" spans="1:25" s="79" customFormat="1" ht="17.100000000000001" customHeight="1">
      <c r="A25" s="103" t="str">
        <f>R24 &amp;"-" &amp;R25</f>
        <v>2-8</v>
      </c>
      <c r="B25" s="102">
        <v>0</v>
      </c>
      <c r="C25" s="100">
        <v>0.157</v>
      </c>
      <c r="D25" s="101">
        <f>B25*$I$13</f>
        <v>0</v>
      </c>
      <c r="E25" s="100">
        <f>C25*0.74</f>
        <v>0.11618000000000001</v>
      </c>
      <c r="F25" s="101">
        <f>IF($M25=0,"",0.005*Q25*($M25-$M$18-$B$39)/$S25)</f>
        <v>0.63483420000000002</v>
      </c>
      <c r="G25" s="100">
        <f>IF($M25=0,"",0.001*P25*($M25-$M$18-$B$39)/$S25)</f>
        <v>0</v>
      </c>
      <c r="H25" s="101">
        <f>IF(F25="","",IF(D25-F25&lt;0,0,D25+F24-F25))</f>
        <v>0</v>
      </c>
      <c r="I25" s="100" t="str">
        <f>IF(P25="","",IF(E25-G25&lt;0,0,E25+G24-G25))</f>
        <v/>
      </c>
      <c r="J25" s="99">
        <v>10.9</v>
      </c>
      <c r="K25" s="98">
        <v>7.4</v>
      </c>
      <c r="L25" s="98"/>
      <c r="M25" s="97">
        <v>3512</v>
      </c>
      <c r="N25" s="96">
        <v>0.88</v>
      </c>
      <c r="O25" s="100">
        <v>1.05</v>
      </c>
      <c r="P25" s="92"/>
      <c r="Q25" s="94">
        <f>N25*O25</f>
        <v>0.92400000000000004</v>
      </c>
      <c r="R25" s="93">
        <v>8</v>
      </c>
      <c r="S25" s="92">
        <v>10</v>
      </c>
      <c r="T25" s="92">
        <v>30</v>
      </c>
      <c r="U25" s="92">
        <f>S25+T25</f>
        <v>40</v>
      </c>
      <c r="V25" s="91"/>
      <c r="W25" s="91"/>
      <c r="X25" s="91"/>
    </row>
    <row r="26" spans="1:25" s="79" customFormat="1" ht="17.100000000000001" customHeight="1">
      <c r="A26" s="103" t="str">
        <f>R25 &amp;"-" &amp;R26</f>
        <v>8-24</v>
      </c>
      <c r="B26" s="102">
        <v>0.28999999999999998</v>
      </c>
      <c r="C26" s="100">
        <v>0.19500000000000001</v>
      </c>
      <c r="D26" s="101">
        <f>B26*$I$13</f>
        <v>0.28680999999999995</v>
      </c>
      <c r="E26" s="100">
        <f>C26*0.74</f>
        <v>0.14430000000000001</v>
      </c>
      <c r="F26" s="101">
        <f>IF($M26=0,"",0.005*Q26*($M26-$M$18-$B$39)/$S26)</f>
        <v>0.93850575000000003</v>
      </c>
      <c r="G26" s="100">
        <f>IF($M26=0,"",0.001*P26*($M26-$M$18-$B$39)/$S26)</f>
        <v>0</v>
      </c>
      <c r="H26" s="101">
        <f>IF(F26="","",IF(D26-F26&lt;0,0,D26+F25-F26))</f>
        <v>0</v>
      </c>
      <c r="I26" s="100" t="str">
        <f>IF(P26="","",IF(E26-G26&lt;0,0,E26+G25-G26))</f>
        <v/>
      </c>
      <c r="J26" s="99">
        <v>10.9</v>
      </c>
      <c r="K26" s="98">
        <v>7.7</v>
      </c>
      <c r="L26" s="98"/>
      <c r="M26" s="97">
        <v>3513</v>
      </c>
      <c r="N26" s="96">
        <v>1.3</v>
      </c>
      <c r="O26" s="100">
        <v>1.05</v>
      </c>
      <c r="P26" s="92"/>
      <c r="Q26" s="94">
        <f>N26*O26</f>
        <v>1.3650000000000002</v>
      </c>
      <c r="R26" s="93">
        <v>24</v>
      </c>
      <c r="S26" s="92">
        <v>10</v>
      </c>
      <c r="T26" s="92">
        <v>30</v>
      </c>
      <c r="U26" s="92">
        <f>S26+T26</f>
        <v>40</v>
      </c>
      <c r="V26" s="91"/>
      <c r="W26" s="91"/>
      <c r="X26" s="91"/>
    </row>
    <row r="27" spans="1:25" s="79" customFormat="1" ht="17.100000000000001" customHeight="1">
      <c r="A27" s="103" t="str">
        <f>R26 &amp;"-" &amp;R27</f>
        <v>24-48</v>
      </c>
      <c r="B27" s="102">
        <v>0</v>
      </c>
      <c r="C27" s="100">
        <v>0.28199999999999997</v>
      </c>
      <c r="D27" s="101">
        <f>B27*$I$13</f>
        <v>0</v>
      </c>
      <c r="E27" s="100">
        <f>C27*0.74</f>
        <v>0.20867999999999998</v>
      </c>
      <c r="F27" s="101">
        <f>IF($M27=0,"",0.005*Q27*($M27-$M$18-$B$39)/$S27)</f>
        <v>0.88139204999999998</v>
      </c>
      <c r="G27" s="100">
        <f>IF($M27=0,"",0.001*P27*($M27-$M$18-$B$39)/$S27)</f>
        <v>0.13210559999999999</v>
      </c>
      <c r="H27" s="101">
        <f>IF(F27="","",IF(D27-F27&lt;0,0,D27+F25-F27))</f>
        <v>0</v>
      </c>
      <c r="I27" s="100">
        <f>IF(P27="","",IF(E27-G27&lt;0,0,E27+G25-G27))</f>
        <v>7.6574399999999987E-2</v>
      </c>
      <c r="J27" s="99">
        <v>10.9</v>
      </c>
      <c r="K27" s="98">
        <v>8.6</v>
      </c>
      <c r="L27" s="98"/>
      <c r="M27" s="97">
        <v>3514</v>
      </c>
      <c r="N27" s="96">
        <v>1.22</v>
      </c>
      <c r="O27" s="100">
        <v>1.05</v>
      </c>
      <c r="P27" s="95">
        <v>0.96</v>
      </c>
      <c r="Q27" s="94">
        <f>N27*O27</f>
        <v>1.2809999999999999</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1.05</v>
      </c>
      <c r="C29" s="73">
        <f>SUM(C24:C28)</f>
        <v>0.92399999999999993</v>
      </c>
      <c r="D29" s="74">
        <f>SUM(D24:D27)</f>
        <v>1.0384499999999999</v>
      </c>
      <c r="E29" s="73">
        <f>SUM(E24:E27)</f>
        <v>0.68375999999999992</v>
      </c>
      <c r="F29" s="77">
        <f>F27</f>
        <v>0.88139204999999998</v>
      </c>
      <c r="G29" s="73">
        <f>G27</f>
        <v>0.13210559999999999</v>
      </c>
      <c r="H29" s="77">
        <f>IF(F29="","0.00",D29-F29)</f>
        <v>0.15705794999999989</v>
      </c>
      <c r="I29" s="76">
        <f>IF(G29="","0.00",E29-G29)</f>
        <v>0.55165439999999988</v>
      </c>
      <c r="J29" s="69"/>
      <c r="K29" s="69"/>
      <c r="L29" s="69"/>
      <c r="M29" s="68"/>
      <c r="N29" s="67"/>
      <c r="O29" s="65"/>
      <c r="P29" s="66"/>
      <c r="Q29" s="7"/>
      <c r="T29" s="64"/>
      <c r="U29" s="64"/>
    </row>
    <row r="30" spans="1:25" s="60" customFormat="1" ht="33.950000000000003" customHeight="1">
      <c r="A30" s="75" t="s">
        <v>19</v>
      </c>
      <c r="B30" s="74"/>
      <c r="C30" s="73"/>
      <c r="D30" s="72">
        <f>IF(B39=0,0,D29*1000/B39)</f>
        <v>0.92232880362376746</v>
      </c>
      <c r="E30" s="70">
        <f>IF(B39=0,0,E29*1000/B39)</f>
        <v>0.60730082600586177</v>
      </c>
      <c r="F30" s="71"/>
      <c r="G30" s="70"/>
      <c r="H30" s="71">
        <f>IF(B39=0,0,H29*1000/B39)</f>
        <v>0.13949547029043421</v>
      </c>
      <c r="I30" s="70">
        <f>IF(B39=0,0,I29*1000/B39)</f>
        <v>0.48996749267252854</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32" t="s">
        <v>17</v>
      </c>
      <c r="B33" s="232" t="s">
        <v>16</v>
      </c>
      <c r="C33" s="245" t="s">
        <v>15</v>
      </c>
      <c r="D33" s="246"/>
      <c r="E33" s="247"/>
      <c r="F33" s="248" t="s">
        <v>14</v>
      </c>
      <c r="G33" s="248"/>
      <c r="H33" s="248"/>
      <c r="I33" s="245" t="s">
        <v>13</v>
      </c>
      <c r="J33" s="246"/>
      <c r="K33" s="247"/>
      <c r="L33" s="56"/>
      <c r="M33" s="255" t="s">
        <v>6</v>
      </c>
      <c r="N33" s="256"/>
      <c r="O33" s="256"/>
      <c r="P33" s="257"/>
      <c r="Q33" s="1"/>
      <c r="U33" s="15"/>
      <c r="V33" s="15"/>
      <c r="W33" s="15"/>
    </row>
    <row r="34" spans="1:23" s="14" customFormat="1" ht="17.100000000000001" customHeight="1">
      <c r="A34" s="234"/>
      <c r="B34" s="234"/>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1377.1</v>
      </c>
      <c r="C35" s="197">
        <v>19.234000000000002</v>
      </c>
      <c r="D35" s="46">
        <v>2.101</v>
      </c>
      <c r="E35" s="46"/>
      <c r="F35" s="36">
        <f t="shared" ref="F35:H38" si="0">$U24*C35/1000</f>
        <v>0.76936000000000015</v>
      </c>
      <c r="G35" s="36">
        <f t="shared" si="0"/>
        <v>8.403999999999999E-2</v>
      </c>
      <c r="H35" s="36">
        <f t="shared" si="0"/>
        <v>0</v>
      </c>
      <c r="I35" s="32">
        <f>$B35/1000*C35</f>
        <v>26.487141400000002</v>
      </c>
      <c r="J35" s="35">
        <f>$B35/1000*D35</f>
        <v>2.8932870999999998</v>
      </c>
      <c r="K35" s="35">
        <f>$B35/1000*E35</f>
        <v>0</v>
      </c>
      <c r="L35" s="32"/>
      <c r="M35" s="32">
        <f t="shared" ref="M35:O38" si="1">IF(I35=0,0,I35/(I$39+I$38)*100)</f>
        <v>54.12353025908596</v>
      </c>
      <c r="N35" s="32">
        <f t="shared" si="1"/>
        <v>56.798532784077501</v>
      </c>
      <c r="O35" s="31">
        <f t="shared" si="1"/>
        <v>0</v>
      </c>
      <c r="P35" s="45"/>
      <c r="Q35" s="1"/>
    </row>
    <row r="36" spans="1:23" s="14" customFormat="1" ht="17.100000000000001" customHeight="1">
      <c r="A36" s="44" t="str">
        <f>R25&amp;"hr PLS"</f>
        <v>8hr PLS</v>
      </c>
      <c r="B36" s="43">
        <f>M25-$M$18-$B$39</f>
        <v>1374.1</v>
      </c>
      <c r="C36" s="41">
        <v>25.416</v>
      </c>
      <c r="D36" s="42">
        <v>2.7919999999999998</v>
      </c>
      <c r="E36" s="42"/>
      <c r="F36" s="36">
        <f t="shared" si="0"/>
        <v>1.01664</v>
      </c>
      <c r="G36" s="36">
        <f t="shared" si="0"/>
        <v>0.11167999999999999</v>
      </c>
      <c r="H36" s="36">
        <f t="shared" si="0"/>
        <v>0</v>
      </c>
      <c r="I36" s="32">
        <f>($B36/1000*C36)+SUM(F$35)</f>
        <v>35.693485599999995</v>
      </c>
      <c r="J36" s="35">
        <f t="shared" ref="J36:J39" si="2">$B36/1000*D36</f>
        <v>3.8364871999999992</v>
      </c>
      <c r="K36" s="42"/>
      <c r="L36" s="41"/>
      <c r="M36" s="32">
        <f t="shared" si="1"/>
        <v>72.935671643443129</v>
      </c>
      <c r="N36" s="32">
        <f t="shared" si="1"/>
        <v>75.314628819550506</v>
      </c>
      <c r="O36" s="31">
        <f t="shared" si="1"/>
        <v>0</v>
      </c>
      <c r="P36" s="40"/>
      <c r="Q36" s="1"/>
    </row>
    <row r="37" spans="1:23" s="14" customFormat="1" ht="17.100000000000001" customHeight="1">
      <c r="A37" s="44" t="str">
        <f>R26&amp;"hr PLS"</f>
        <v>24hr PLS</v>
      </c>
      <c r="B37" s="43">
        <f>M26-$M$18-$B$39</f>
        <v>1375.1</v>
      </c>
      <c r="C37" s="41">
        <v>29.416</v>
      </c>
      <c r="D37" s="42">
        <v>3.21</v>
      </c>
      <c r="E37" s="42"/>
      <c r="F37" s="36">
        <f t="shared" si="0"/>
        <v>1.1766400000000001</v>
      </c>
      <c r="G37" s="36">
        <f t="shared" si="0"/>
        <v>0.12840000000000001</v>
      </c>
      <c r="H37" s="36">
        <f t="shared" si="0"/>
        <v>0</v>
      </c>
      <c r="I37" s="32">
        <f>($B37/1000*C37)+SUM(F$35:F36)</f>
        <v>42.235941600000004</v>
      </c>
      <c r="J37" s="35">
        <f t="shared" si="2"/>
        <v>4.4140709999999999</v>
      </c>
      <c r="K37" s="42"/>
      <c r="L37" s="41"/>
      <c r="M37" s="32">
        <f t="shared" si="1"/>
        <v>86.3044534963893</v>
      </c>
      <c r="N37" s="32">
        <f t="shared" si="1"/>
        <v>86.65325898862433</v>
      </c>
      <c r="O37" s="31">
        <f t="shared" si="1"/>
        <v>0</v>
      </c>
      <c r="P37" s="40"/>
      <c r="Q37" s="1"/>
    </row>
    <row r="38" spans="1:23" s="14" customFormat="1" ht="17.100000000000001" customHeight="1">
      <c r="A38" s="39" t="str">
        <f>R27&amp;"hr PLS"</f>
        <v>48hr PLS</v>
      </c>
      <c r="B38" s="38">
        <f>M27-$M$18-$B$39</f>
        <v>1376.1</v>
      </c>
      <c r="C38" s="198">
        <v>29.937000000000001</v>
      </c>
      <c r="D38" s="37">
        <v>3.129</v>
      </c>
      <c r="E38" s="37"/>
      <c r="F38" s="36">
        <f t="shared" si="0"/>
        <v>1.1974800000000001</v>
      </c>
      <c r="G38" s="36">
        <f t="shared" si="0"/>
        <v>0.12515999999999999</v>
      </c>
      <c r="H38" s="36">
        <f t="shared" si="0"/>
        <v>0</v>
      </c>
      <c r="I38" s="201">
        <f>($B38/1000*C38)+SUM(F$35:F37)</f>
        <v>44.158945699999997</v>
      </c>
      <c r="J38" s="200">
        <f t="shared" si="2"/>
        <v>4.3058168999999999</v>
      </c>
      <c r="K38" s="34"/>
      <c r="L38" s="33"/>
      <c r="M38" s="32">
        <f t="shared" si="1"/>
        <v>90.233898694831737</v>
      </c>
      <c r="N38" s="32">
        <f t="shared" si="1"/>
        <v>84.528107271789594</v>
      </c>
      <c r="O38" s="31">
        <f t="shared" si="1"/>
        <v>0</v>
      </c>
      <c r="P38" s="30"/>
      <c r="Q38" s="1"/>
      <c r="U38" s="29"/>
      <c r="V38" s="29"/>
      <c r="W38" s="29"/>
    </row>
    <row r="39" spans="1:23" s="14" customFormat="1" ht="17.100000000000001" customHeight="1" thickBot="1">
      <c r="A39" s="28" t="s">
        <v>12</v>
      </c>
      <c r="B39" s="27">
        <v>1125.9000000000001</v>
      </c>
      <c r="C39" s="199">
        <v>0.55000000000000004</v>
      </c>
      <c r="D39" s="24">
        <v>0.7</v>
      </c>
      <c r="E39" s="24"/>
      <c r="F39" s="26"/>
      <c r="G39" s="26"/>
      <c r="H39" s="25"/>
      <c r="I39" s="24">
        <f>($B39/1000*C39)+SUM(F$35:F38)</f>
        <v>4.7793650000000012</v>
      </c>
      <c r="J39" s="24">
        <f t="shared" si="2"/>
        <v>0.78813</v>
      </c>
      <c r="K39" s="24"/>
      <c r="L39" s="24"/>
      <c r="M39" s="24">
        <f>IF(I39=0,0,I39/(I$39+I$38)%)</f>
        <v>9.7661013051682684</v>
      </c>
      <c r="N39" s="23">
        <f>IF(J39=0,0,J39/(J$39+J$38)%)</f>
        <v>15.471892728210419</v>
      </c>
      <c r="O39" s="22">
        <f>IF(K39=0,0,K39/(K$39+K$38)%)</f>
        <v>0</v>
      </c>
      <c r="P39" s="21"/>
      <c r="Q39" s="1"/>
      <c r="U39" s="15"/>
    </row>
    <row r="40" spans="1:23" s="14" customFormat="1" ht="17.100000000000001" customHeight="1">
      <c r="A40" s="20" t="s">
        <v>11</v>
      </c>
      <c r="B40" s="12">
        <f>B39</f>
        <v>1125.9000000000001</v>
      </c>
      <c r="C40" s="196">
        <f>IF($B40=0,0,(I39+I38)/($B40/1000))</f>
        <v>43.465947863931071</v>
      </c>
      <c r="D40" s="11">
        <f>IF($B40=0,0,(J39+J38)/($B40/1000))</f>
        <v>4.5243333333333329</v>
      </c>
      <c r="E40" s="19">
        <f>IF($B40=0,0,K40/($B40/1000))</f>
        <v>0</v>
      </c>
      <c r="F40" s="18"/>
      <c r="G40" s="18"/>
      <c r="H40" s="18"/>
      <c r="I40" s="17"/>
      <c r="J40" s="17"/>
      <c r="K40" s="17"/>
      <c r="L40" s="16"/>
      <c r="M40" s="16"/>
      <c r="N40" s="16"/>
      <c r="O40" s="16"/>
      <c r="P40" s="1"/>
      <c r="Q40" s="1"/>
      <c r="U40" s="15"/>
    </row>
    <row r="41" spans="1:23" ht="17.100000000000001" customHeight="1">
      <c r="A41" s="13" t="s">
        <v>10</v>
      </c>
      <c r="B41" s="12"/>
      <c r="C41" s="196">
        <v>55.1</v>
      </c>
      <c r="D41" s="11">
        <v>5.2</v>
      </c>
      <c r="E41" s="11"/>
      <c r="F41" s="10"/>
      <c r="G41" s="7"/>
      <c r="H41" s="7"/>
      <c r="I41" s="7"/>
      <c r="J41" s="7"/>
      <c r="K41" s="7"/>
      <c r="L41" s="7"/>
      <c r="M41" s="9"/>
      <c r="N41" s="8"/>
      <c r="O41" s="7"/>
    </row>
    <row r="42" spans="1:23" ht="17.100000000000001" customHeight="1">
      <c r="A42" s="7"/>
      <c r="B42" s="7"/>
      <c r="C42" s="7"/>
      <c r="D42" s="7"/>
      <c r="E42" s="7"/>
    </row>
    <row r="44" spans="1:23">
      <c r="A44" s="1" t="s">
        <v>9</v>
      </c>
      <c r="E44" s="238" t="s">
        <v>8</v>
      </c>
      <c r="F44" s="238"/>
      <c r="G44" s="238" t="s">
        <v>7</v>
      </c>
      <c r="H44" s="238"/>
      <c r="I44" s="238" t="s">
        <v>6</v>
      </c>
      <c r="J44" s="238"/>
      <c r="K44" s="238"/>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CN-1</v>
      </c>
      <c r="B46" s="1" t="str">
        <f>B3</f>
        <v>GR-1(BS-3A13-03) Gravity Tails</v>
      </c>
      <c r="C46" s="1">
        <f>C18</f>
        <v>77</v>
      </c>
      <c r="D46" s="4">
        <f>R27</f>
        <v>48</v>
      </c>
      <c r="E46" s="3">
        <f>D30</f>
        <v>0.92232880362376746</v>
      </c>
      <c r="F46" s="3">
        <f>E30</f>
        <v>0.60730082600586177</v>
      </c>
      <c r="G46" s="3">
        <f>H30</f>
        <v>0.13949547029043421</v>
      </c>
      <c r="H46" s="3">
        <f>I30</f>
        <v>0.48996749267252854</v>
      </c>
      <c r="I46" s="2">
        <f>M38</f>
        <v>90.233898694831737</v>
      </c>
      <c r="J46" s="2">
        <f>N38</f>
        <v>84.528107271789594</v>
      </c>
      <c r="K46" s="2">
        <f>O38</f>
        <v>0</v>
      </c>
    </row>
  </sheetData>
  <mergeCells count="43">
    <mergeCell ref="A33:A34"/>
    <mergeCell ref="B33:B34"/>
    <mergeCell ref="C33:E33"/>
    <mergeCell ref="B21:C21"/>
    <mergeCell ref="Q20:Q22"/>
    <mergeCell ref="P20:P22"/>
    <mergeCell ref="B20:E20"/>
    <mergeCell ref="D21:E21"/>
    <mergeCell ref="F20:G20"/>
    <mergeCell ref="M33:P33"/>
    <mergeCell ref="N20:O20"/>
    <mergeCell ref="J20:J22"/>
    <mergeCell ref="K20:K22"/>
    <mergeCell ref="L20:L22"/>
    <mergeCell ref="M20:M22"/>
    <mergeCell ref="G44:H44"/>
    <mergeCell ref="I44:K44"/>
    <mergeCell ref="G21:G22"/>
    <mergeCell ref="H21:H22"/>
    <mergeCell ref="I21:I22"/>
    <mergeCell ref="I33:K33"/>
    <mergeCell ref="F33:H33"/>
    <mergeCell ref="E44:F44"/>
    <mergeCell ref="N1:O1"/>
    <mergeCell ref="B5:O5"/>
    <mergeCell ref="B7:O7"/>
    <mergeCell ref="A9:B9"/>
    <mergeCell ref="A10:B10"/>
    <mergeCell ref="U20:U22"/>
    <mergeCell ref="R20:R22"/>
    <mergeCell ref="S20:S22"/>
    <mergeCell ref="T20:T22"/>
    <mergeCell ref="N21:N22"/>
    <mergeCell ref="K17:L17"/>
    <mergeCell ref="K18:L18"/>
    <mergeCell ref="B1:C1"/>
    <mergeCell ref="G1:H1"/>
    <mergeCell ref="H20:I20"/>
    <mergeCell ref="A15:B15"/>
    <mergeCell ref="A11:B11"/>
    <mergeCell ref="A12:B12"/>
    <mergeCell ref="A20:A22"/>
    <mergeCell ref="F21:F22"/>
  </mergeCells>
  <conditionalFormatting sqref="C40:E40">
    <cfRule type="expression" dxfId="54" priority="17" stopIfTrue="1">
      <formula>ISBLANK(C$34)=TRUE</formula>
    </cfRule>
    <cfRule type="cellIs" dxfId="53" priority="18" stopIfTrue="1" operator="equal">
      <formula>""</formula>
    </cfRule>
  </conditionalFormatting>
  <conditionalFormatting sqref="F35:H38">
    <cfRule type="expression" dxfId="52" priority="16" stopIfTrue="1">
      <formula>ISBLANK(C$34)=TRUE</formula>
    </cfRule>
  </conditionalFormatting>
  <conditionalFormatting sqref="I35:K39">
    <cfRule type="expression" dxfId="51" priority="15" stopIfTrue="1">
      <formula>ISBLANK(C$34)=TRUE</formula>
    </cfRule>
  </conditionalFormatting>
  <conditionalFormatting sqref="M35:O39">
    <cfRule type="expression" dxfId="50" priority="14" stopIfTrue="1">
      <formula>ISBLANK(C$34)=TRUE</formula>
    </cfRule>
  </conditionalFormatting>
  <conditionalFormatting sqref="M17:M18 C18 N1:O1 B39 K24:K25 J23:J25 M27:P27 B24:C27 J26:K27 M24:O26 O25:O27">
    <cfRule type="cellIs" dxfId="49" priority="13" stopIfTrue="1" operator="equal">
      <formula>""</formula>
    </cfRule>
  </conditionalFormatting>
  <conditionalFormatting sqref="H17:H18 C17 B7:O7 B5:O5 B3 B1:C1 G1:H1 C9:C10 R24:R27 I10:I11">
    <cfRule type="cellIs" dxfId="48" priority="12" stopIfTrue="1" operator="equal">
      <formula>""</formula>
    </cfRule>
  </conditionalFormatting>
  <conditionalFormatting sqref="G31 I31">
    <cfRule type="cellIs" dxfId="47" priority="11" stopIfTrue="1" operator="lessThan">
      <formula>0</formula>
    </cfRule>
  </conditionalFormatting>
  <conditionalFormatting sqref="C12">
    <cfRule type="expression" dxfId="46" priority="10" stopIfTrue="1">
      <formula>ISERROR($C$11)</formula>
    </cfRule>
  </conditionalFormatting>
  <conditionalFormatting sqref="I45 I34 F34 M34">
    <cfRule type="expression" dxfId="45" priority="9" stopIfTrue="1">
      <formula>ISBLANK($C$34)=TRUE</formula>
    </cfRule>
  </conditionalFormatting>
  <conditionalFormatting sqref="J45 G34 J34 N34">
    <cfRule type="expression" dxfId="44" priority="8" stopIfTrue="1">
      <formula>ISBLANK($D$34)=TRUE</formula>
    </cfRule>
  </conditionalFormatting>
  <conditionalFormatting sqref="K45 H34 K34 O34">
    <cfRule type="expression" dxfId="43" priority="7" stopIfTrue="1">
      <formula>ISBLANK($E$34)=TRUE</formula>
    </cfRule>
  </conditionalFormatting>
  <conditionalFormatting sqref="L15:M15">
    <cfRule type="expression" dxfId="42" priority="6" stopIfTrue="1">
      <formula>"$C$15&lt;=0"</formula>
    </cfRule>
  </conditionalFormatting>
  <conditionalFormatting sqref="C15">
    <cfRule type="expression" dxfId="41" priority="5" stopIfTrue="1">
      <formula>ISBLANK($C$15)</formula>
    </cfRule>
  </conditionalFormatting>
  <conditionalFormatting sqref="D15 F15 H15 J15">
    <cfRule type="expression" dxfId="40" priority="4" stopIfTrue="1">
      <formula>NOT(OR((AND(ISNUMBER($C$15),$C$15&gt;0)),(ISBLANK($C$15))))</formula>
    </cfRule>
  </conditionalFormatting>
  <conditionalFormatting sqref="E15 G15 I15">
    <cfRule type="expression" dxfId="39" priority="3" stopIfTrue="1">
      <formula>AND((AND(ISNUMBER($C$15),$C$15&gt;0)),ISBLANK(E15))</formula>
    </cfRule>
  </conditionalFormatting>
  <conditionalFormatting sqref="C35:E39">
    <cfRule type="expression" dxfId="38" priority="1" stopIfTrue="1">
      <formula>ISBLANK(C$34)=TRUE</formula>
    </cfRule>
    <cfRule type="cellIs" dxfId="37"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xl/worksheets/sheet4.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16" zoomScale="75" zoomScaleNormal="75" zoomScaleSheetLayoutView="75" workbookViewId="0">
      <selection activeCell="C18" sqref="C18"/>
    </sheetView>
  </sheetViews>
  <sheetFormatPr defaultColWidth="12.85546875" defaultRowHeight="15.75"/>
  <cols>
    <col min="1" max="1" width="15.5703125" style="1" customWidth="1"/>
    <col min="2"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19" t="s">
        <v>104</v>
      </c>
      <c r="C1" s="219"/>
      <c r="F1" s="60" t="s">
        <v>74</v>
      </c>
      <c r="G1" s="219" t="s">
        <v>76</v>
      </c>
      <c r="H1" s="219"/>
      <c r="K1" s="156"/>
      <c r="L1" s="156"/>
      <c r="M1" s="156" t="s">
        <v>73</v>
      </c>
      <c r="N1" s="237">
        <v>41920</v>
      </c>
      <c r="O1" s="237"/>
      <c r="P1" s="153"/>
      <c r="Q1" s="152"/>
      <c r="R1" s="151"/>
      <c r="T1" s="150"/>
      <c r="V1" s="206"/>
      <c r="W1" s="206"/>
      <c r="AA1" s="1" t="s">
        <v>72</v>
      </c>
    </row>
    <row r="2" spans="1:27" ht="17.100000000000001" customHeight="1">
      <c r="A2" s="60"/>
      <c r="D2" s="60"/>
      <c r="E2" s="150"/>
      <c r="F2" s="157"/>
      <c r="G2" s="150"/>
      <c r="I2" s="156"/>
      <c r="J2" s="156"/>
      <c r="K2" s="156"/>
      <c r="L2" s="156"/>
      <c r="M2" s="60"/>
      <c r="N2" s="64"/>
      <c r="O2" s="7"/>
      <c r="P2" s="153"/>
      <c r="Q2" s="152"/>
      <c r="R2" s="151"/>
      <c r="T2" s="150"/>
      <c r="V2" s="206"/>
      <c r="W2" s="206"/>
      <c r="AA2" s="1" t="s">
        <v>71</v>
      </c>
    </row>
    <row r="3" spans="1:27" ht="17.100000000000001" customHeight="1">
      <c r="A3" s="60" t="s">
        <v>70</v>
      </c>
      <c r="B3" s="155" t="s">
        <v>109</v>
      </c>
      <c r="C3" s="145"/>
      <c r="D3" s="145"/>
      <c r="E3" s="145"/>
      <c r="F3" s="145"/>
      <c r="G3" s="145"/>
      <c r="H3" s="145"/>
      <c r="I3" s="145"/>
      <c r="J3" s="145"/>
      <c r="K3" s="145"/>
      <c r="L3" s="145"/>
      <c r="M3" s="145"/>
      <c r="N3" s="145"/>
      <c r="O3" s="145"/>
      <c r="P3" s="153"/>
      <c r="Q3" s="152"/>
      <c r="R3" s="151"/>
      <c r="T3" s="150"/>
      <c r="V3" s="206"/>
      <c r="W3" s="206"/>
    </row>
    <row r="4" spans="1:27" ht="17.100000000000001" customHeight="1">
      <c r="A4" s="60"/>
      <c r="B4" s="60"/>
      <c r="C4" s="150"/>
      <c r="D4" s="150"/>
      <c r="E4" s="60"/>
      <c r="F4" s="130"/>
      <c r="G4" s="60"/>
      <c r="H4" s="60"/>
      <c r="I4" s="130"/>
      <c r="J4" s="154"/>
      <c r="N4" s="7"/>
      <c r="O4" s="7"/>
      <c r="P4" s="153"/>
      <c r="Q4" s="152"/>
      <c r="R4" s="151"/>
      <c r="T4" s="150"/>
      <c r="V4" s="206"/>
      <c r="W4" s="206"/>
    </row>
    <row r="5" spans="1:27" ht="17.100000000000001" customHeight="1">
      <c r="A5" s="149" t="s">
        <v>69</v>
      </c>
      <c r="B5" s="219" t="s">
        <v>80</v>
      </c>
      <c r="C5" s="219"/>
      <c r="D5" s="219"/>
      <c r="E5" s="219"/>
      <c r="F5" s="219"/>
      <c r="G5" s="219"/>
      <c r="H5" s="219"/>
      <c r="I5" s="219"/>
      <c r="J5" s="219"/>
      <c r="K5" s="219"/>
      <c r="L5" s="219"/>
      <c r="M5" s="219"/>
      <c r="N5" s="219"/>
      <c r="O5" s="219"/>
      <c r="P5" s="7"/>
      <c r="Q5" s="7"/>
      <c r="S5" s="206"/>
      <c r="T5" s="206"/>
      <c r="V5" s="206"/>
      <c r="W5" s="206"/>
    </row>
    <row r="6" spans="1:27" ht="17.100000000000001" customHeight="1">
      <c r="A6" s="64"/>
      <c r="B6" s="61"/>
      <c r="C6" s="61"/>
      <c r="D6" s="61"/>
      <c r="E6" s="61"/>
      <c r="F6" s="61"/>
      <c r="G6" s="61"/>
      <c r="H6" s="61"/>
      <c r="I6" s="61"/>
      <c r="J6" s="61"/>
      <c r="M6" s="7"/>
      <c r="N6" s="7"/>
      <c r="O6" s="7"/>
      <c r="P6" s="7"/>
      <c r="Q6" s="7"/>
      <c r="S6" s="206"/>
      <c r="T6" s="57"/>
      <c r="V6" s="206"/>
      <c r="W6" s="206"/>
    </row>
    <row r="7" spans="1:27" s="145" customFormat="1" ht="65.25" customHeight="1">
      <c r="A7" s="148" t="s">
        <v>68</v>
      </c>
      <c r="B7" s="219" t="s">
        <v>81</v>
      </c>
      <c r="C7" s="219"/>
      <c r="D7" s="219"/>
      <c r="E7" s="219"/>
      <c r="F7" s="219"/>
      <c r="G7" s="219"/>
      <c r="H7" s="219"/>
      <c r="I7" s="219"/>
      <c r="J7" s="219"/>
      <c r="K7" s="219"/>
      <c r="L7" s="219"/>
      <c r="M7" s="219"/>
      <c r="N7" s="219"/>
      <c r="O7" s="219"/>
      <c r="P7" s="147"/>
      <c r="Q7" s="147"/>
      <c r="S7" s="146"/>
      <c r="T7" s="146"/>
      <c r="U7" s="146"/>
      <c r="V7" s="146"/>
      <c r="W7" s="146"/>
    </row>
    <row r="8" spans="1:27" ht="17.100000000000001" customHeight="1">
      <c r="A8" s="64"/>
      <c r="B8" s="145"/>
      <c r="C8" s="145"/>
      <c r="D8" s="145"/>
      <c r="E8" s="145"/>
      <c r="F8" s="145"/>
      <c r="G8" s="145"/>
      <c r="H8" s="145"/>
      <c r="I8" s="145"/>
      <c r="J8" s="145"/>
      <c r="K8" s="7"/>
      <c r="L8" s="7"/>
      <c r="O8" s="128"/>
      <c r="R8" s="206"/>
      <c r="S8" s="120"/>
      <c r="T8" s="120"/>
      <c r="U8" s="120"/>
      <c r="V8" s="120"/>
      <c r="W8" s="120"/>
    </row>
    <row r="9" spans="1:27" ht="17.100000000000001" customHeight="1">
      <c r="A9" s="226" t="s">
        <v>67</v>
      </c>
      <c r="B9" s="226"/>
      <c r="C9" s="126">
        <v>1000</v>
      </c>
      <c r="D9" s="133" t="str">
        <f>"g of "&amp;B3</f>
        <v>g of GR-2(BS-3A13-02) Gravity Tails</v>
      </c>
      <c r="E9" s="144"/>
      <c r="F9" s="143"/>
      <c r="H9" s="137" t="s">
        <v>66</v>
      </c>
      <c r="I9" s="203" t="s">
        <v>65</v>
      </c>
      <c r="J9" s="142" t="s">
        <v>64</v>
      </c>
      <c r="K9" s="142"/>
      <c r="L9" s="142"/>
      <c r="M9" s="7"/>
      <c r="O9" s="7"/>
      <c r="R9" s="206"/>
      <c r="T9" s="141"/>
      <c r="U9" s="120"/>
      <c r="V9" s="120"/>
      <c r="W9" s="120"/>
    </row>
    <row r="10" spans="1:27" ht="17.100000000000001" customHeight="1">
      <c r="A10" s="226" t="s">
        <v>63</v>
      </c>
      <c r="B10" s="226"/>
      <c r="C10" s="140">
        <v>0.4</v>
      </c>
      <c r="D10" s="133" t="s">
        <v>62</v>
      </c>
      <c r="E10" s="61"/>
      <c r="F10" s="61"/>
      <c r="H10" s="137" t="s">
        <v>61</v>
      </c>
      <c r="I10" s="126">
        <v>0</v>
      </c>
      <c r="J10" s="134" t="s">
        <v>60</v>
      </c>
      <c r="M10" s="204" t="str">
        <f>IF(I10&lt;=0,"","Pb(NO3)2 Added:")</f>
        <v/>
      </c>
      <c r="N10" s="139" t="str">
        <f>IF(I10&lt;=0,"",I10*C9/1000/1000&amp;" g")</f>
        <v/>
      </c>
      <c r="O10" s="138"/>
      <c r="T10" s="57"/>
      <c r="V10" s="206"/>
      <c r="W10" s="206"/>
    </row>
    <row r="11" spans="1:27" ht="17.100000000000001" customHeight="1">
      <c r="A11" s="226" t="s">
        <v>59</v>
      </c>
      <c r="B11" s="226"/>
      <c r="C11" s="126">
        <f>IF(C10="","",(C9/C10)-C9)</f>
        <v>1500</v>
      </c>
      <c r="D11" s="133" t="s">
        <v>58</v>
      </c>
      <c r="F11" s="61"/>
      <c r="H11" s="137" t="s">
        <v>57</v>
      </c>
      <c r="I11" s="136">
        <v>0.5</v>
      </c>
      <c r="J11" s="135" t="s">
        <v>56</v>
      </c>
      <c r="K11" s="134"/>
      <c r="L11" s="134"/>
      <c r="R11" s="206"/>
      <c r="T11" s="120"/>
      <c r="U11" s="120"/>
      <c r="V11" s="120"/>
      <c r="W11" s="120"/>
    </row>
    <row r="12" spans="1:27" ht="17.100000000000001" customHeight="1">
      <c r="A12" s="226" t="s">
        <v>55</v>
      </c>
      <c r="B12" s="226"/>
      <c r="C12" s="126">
        <f>IF(C10="","",$M$18+$C$9+$C$11)</f>
        <v>3512</v>
      </c>
      <c r="D12" s="133" t="s">
        <v>41</v>
      </c>
      <c r="E12" s="61"/>
      <c r="F12" s="61"/>
      <c r="H12" s="204" t="str">
        <f>IF(I11&lt;=0,"","Target Additon:")</f>
        <v>Target Additon:</v>
      </c>
      <c r="I12" s="131">
        <f>IF(I11&lt;=0,"",I11*C11/I13/1000)</f>
        <v>0.75834175935288173</v>
      </c>
      <c r="Q12" s="7"/>
      <c r="T12" s="57"/>
      <c r="V12" s="206"/>
      <c r="W12" s="206"/>
    </row>
    <row r="13" spans="1:27" ht="17.100000000000001" customHeight="1">
      <c r="A13" s="123"/>
      <c r="G13" s="61"/>
      <c r="H13" s="130" t="s">
        <v>54</v>
      </c>
      <c r="I13" s="129">
        <v>0.98899999999999999</v>
      </c>
      <c r="J13" s="61"/>
      <c r="P13" s="128"/>
      <c r="Q13" s="127"/>
      <c r="R13" s="206"/>
      <c r="T13" s="120"/>
      <c r="U13" s="120"/>
      <c r="V13" s="120"/>
      <c r="W13" s="120"/>
    </row>
    <row r="14" spans="1:27" ht="17.100000000000001" customHeight="1">
      <c r="A14" s="123"/>
      <c r="B14" s="123"/>
      <c r="E14" s="61"/>
      <c r="F14" s="61"/>
      <c r="G14" s="61"/>
      <c r="H14" s="203"/>
      <c r="I14" s="123"/>
      <c r="J14" s="61"/>
      <c r="K14" s="61"/>
      <c r="L14" s="61"/>
      <c r="P14" s="128"/>
      <c r="Q14" s="127"/>
      <c r="R14" s="206"/>
      <c r="T14" s="120"/>
      <c r="U14" s="120"/>
      <c r="V14" s="120"/>
      <c r="W14" s="120"/>
    </row>
    <row r="15" spans="1:27" ht="17.100000000000001" customHeight="1">
      <c r="A15" s="226" t="s">
        <v>53</v>
      </c>
      <c r="B15" s="226"/>
      <c r="C15" s="126">
        <v>1</v>
      </c>
      <c r="D15" s="8" t="s">
        <v>52</v>
      </c>
      <c r="E15" s="8">
        <v>25</v>
      </c>
      <c r="F15" s="125" t="s">
        <v>51</v>
      </c>
      <c r="G15" s="8" t="s">
        <v>108</v>
      </c>
      <c r="H15" s="206" t="s">
        <v>50</v>
      </c>
      <c r="I15" s="8">
        <v>50</v>
      </c>
      <c r="J15" s="1" t="s">
        <v>49</v>
      </c>
      <c r="R15" s="206"/>
      <c r="V15" s="206"/>
    </row>
    <row r="16" spans="1:27" ht="17.100000000000001" customHeight="1">
      <c r="A16" s="64"/>
      <c r="C16" s="61"/>
      <c r="D16" s="61"/>
      <c r="E16" s="61"/>
      <c r="F16" s="61"/>
      <c r="G16" s="61"/>
      <c r="P16" s="7"/>
      <c r="Q16" s="7"/>
      <c r="R16" s="7"/>
      <c r="T16" s="206"/>
      <c r="U16" s="57"/>
      <c r="V16" s="206"/>
      <c r="W16" s="206"/>
    </row>
    <row r="17" spans="1:25" ht="17.100000000000001" customHeight="1">
      <c r="B17" s="203" t="s">
        <v>48</v>
      </c>
      <c r="C17" s="8">
        <v>75</v>
      </c>
      <c r="D17" s="61" t="s">
        <v>44</v>
      </c>
      <c r="G17" s="123" t="s">
        <v>47</v>
      </c>
      <c r="H17" s="123" t="s">
        <v>72</v>
      </c>
      <c r="K17" s="222" t="s">
        <v>46</v>
      </c>
      <c r="L17" s="222"/>
      <c r="M17" s="122">
        <v>1</v>
      </c>
      <c r="P17" s="8"/>
      <c r="Q17" s="8"/>
      <c r="R17" s="8"/>
      <c r="T17" s="206"/>
      <c r="U17" s="57"/>
      <c r="V17" s="206"/>
      <c r="W17" s="206"/>
    </row>
    <row r="18" spans="1:25" ht="17.100000000000001" customHeight="1">
      <c r="B18" s="203" t="s">
        <v>45</v>
      </c>
      <c r="C18" s="8">
        <v>82</v>
      </c>
      <c r="D18" s="61" t="s">
        <v>44</v>
      </c>
      <c r="G18" s="123" t="s">
        <v>43</v>
      </c>
      <c r="H18" s="123" t="s">
        <v>71</v>
      </c>
      <c r="K18" s="223" t="s">
        <v>42</v>
      </c>
      <c r="L18" s="223"/>
      <c r="M18" s="122">
        <v>1012</v>
      </c>
      <c r="N18" s="57" t="s">
        <v>41</v>
      </c>
      <c r="P18" s="8"/>
      <c r="Q18" s="121"/>
      <c r="R18" s="121"/>
      <c r="S18" s="7"/>
    </row>
    <row r="19" spans="1:25" ht="17.100000000000001" customHeight="1">
      <c r="A19" s="7"/>
      <c r="B19" s="7"/>
      <c r="C19" s="7"/>
      <c r="D19" s="7"/>
      <c r="E19" s="7"/>
      <c r="F19" s="7"/>
      <c r="G19" s="7"/>
      <c r="H19" s="7"/>
      <c r="I19" s="7"/>
      <c r="J19" s="7"/>
      <c r="K19" s="206"/>
      <c r="L19" s="206"/>
      <c r="N19" s="8"/>
      <c r="O19" s="8"/>
      <c r="P19" s="8"/>
      <c r="Q19" s="121"/>
      <c r="R19" s="121"/>
      <c r="S19" s="7"/>
      <c r="T19" s="120"/>
      <c r="U19" s="120"/>
      <c r="V19" s="120"/>
      <c r="W19" s="120"/>
    </row>
    <row r="20" spans="1:25" ht="17.100000000000001" customHeight="1">
      <c r="A20" s="227" t="s">
        <v>40</v>
      </c>
      <c r="B20" s="224" t="s">
        <v>39</v>
      </c>
      <c r="C20" s="254"/>
      <c r="D20" s="254"/>
      <c r="E20" s="225"/>
      <c r="F20" s="224" t="s">
        <v>38</v>
      </c>
      <c r="G20" s="225"/>
      <c r="H20" s="224" t="s">
        <v>37</v>
      </c>
      <c r="I20" s="225"/>
      <c r="J20" s="260" t="s">
        <v>36</v>
      </c>
      <c r="K20" s="260" t="s">
        <v>35</v>
      </c>
      <c r="L20" s="227" t="s">
        <v>34</v>
      </c>
      <c r="M20" s="263" t="s">
        <v>33</v>
      </c>
      <c r="N20" s="258" t="s">
        <v>32</v>
      </c>
      <c r="O20" s="259"/>
      <c r="P20" s="251" t="s">
        <v>31</v>
      </c>
      <c r="Q20" s="227" t="s">
        <v>30</v>
      </c>
      <c r="R20" s="227" t="s">
        <v>29</v>
      </c>
      <c r="S20" s="227" t="s">
        <v>28</v>
      </c>
      <c r="T20" s="227" t="s">
        <v>27</v>
      </c>
      <c r="U20" s="232" t="s">
        <v>26</v>
      </c>
      <c r="V20" s="120"/>
      <c r="W20" s="120"/>
      <c r="X20" s="120"/>
    </row>
    <row r="21" spans="1:25" ht="17.100000000000001" customHeight="1">
      <c r="A21" s="228"/>
      <c r="B21" s="249" t="s">
        <v>25</v>
      </c>
      <c r="C21" s="250"/>
      <c r="D21" s="249" t="s">
        <v>24</v>
      </c>
      <c r="E21" s="250"/>
      <c r="F21" s="230" t="s">
        <v>1</v>
      </c>
      <c r="G21" s="239" t="s">
        <v>0</v>
      </c>
      <c r="H21" s="241" t="s">
        <v>1</v>
      </c>
      <c r="I21" s="243" t="s">
        <v>0</v>
      </c>
      <c r="J21" s="261"/>
      <c r="K21" s="261"/>
      <c r="L21" s="228"/>
      <c r="M21" s="264"/>
      <c r="N21" s="235" t="s">
        <v>23</v>
      </c>
      <c r="O21" s="119" t="s">
        <v>22</v>
      </c>
      <c r="P21" s="252"/>
      <c r="Q21" s="228"/>
      <c r="R21" s="228"/>
      <c r="S21" s="228"/>
      <c r="T21" s="228"/>
      <c r="U21" s="233"/>
      <c r="V21" s="206"/>
      <c r="W21" s="206"/>
      <c r="X21" s="206"/>
    </row>
    <row r="22" spans="1:25" ht="17.100000000000001" customHeight="1">
      <c r="A22" s="229"/>
      <c r="B22" s="116" t="s">
        <v>1</v>
      </c>
      <c r="C22" s="117" t="s">
        <v>21</v>
      </c>
      <c r="D22" s="116" t="s">
        <v>1</v>
      </c>
      <c r="E22" s="115" t="s">
        <v>0</v>
      </c>
      <c r="F22" s="231"/>
      <c r="G22" s="240"/>
      <c r="H22" s="242"/>
      <c r="I22" s="244"/>
      <c r="J22" s="262"/>
      <c r="K22" s="262"/>
      <c r="L22" s="229"/>
      <c r="M22" s="265"/>
      <c r="N22" s="236"/>
      <c r="O22" s="114"/>
      <c r="P22" s="253"/>
      <c r="Q22" s="229"/>
      <c r="R22" s="229"/>
      <c r="S22" s="229"/>
      <c r="T22" s="229"/>
      <c r="U22" s="234"/>
      <c r="V22" s="8"/>
      <c r="W22" s="8"/>
      <c r="X22" s="8"/>
    </row>
    <row r="23" spans="1:25" s="79" customFormat="1" ht="17.100000000000001" customHeight="1">
      <c r="A23" s="107"/>
      <c r="B23" s="112"/>
      <c r="C23" s="113"/>
      <c r="D23" s="112"/>
      <c r="E23" s="100"/>
      <c r="F23" s="112"/>
      <c r="G23" s="111"/>
      <c r="H23" s="112"/>
      <c r="I23" s="111"/>
      <c r="J23" s="99">
        <v>8.6999999999999993</v>
      </c>
      <c r="K23" s="110"/>
      <c r="L23" s="110"/>
      <c r="M23" s="110"/>
      <c r="N23" s="205"/>
      <c r="O23" s="207"/>
      <c r="P23" s="107"/>
      <c r="Q23" s="107"/>
      <c r="R23" s="106"/>
      <c r="S23" s="106"/>
      <c r="T23" s="106"/>
      <c r="U23" s="106"/>
      <c r="V23" s="91"/>
      <c r="W23" s="91"/>
      <c r="X23" s="91"/>
    </row>
    <row r="24" spans="1:25" s="79" customFormat="1" ht="17.100000000000001" customHeight="1">
      <c r="A24" s="105" t="str">
        <f>"0-" &amp;R24</f>
        <v>0-2</v>
      </c>
      <c r="B24" s="102">
        <v>0.76</v>
      </c>
      <c r="C24" s="100">
        <v>0.624</v>
      </c>
      <c r="D24" s="101">
        <f>B24*$I$13</f>
        <v>0.75163999999999997</v>
      </c>
      <c r="E24" s="100">
        <f>C24*0.74</f>
        <v>0.46176</v>
      </c>
      <c r="F24" s="101">
        <f>IF($M24=0,"",0.005*Q24*($M24-$M$18-$B$39)/$S24)</f>
        <v>0.69355440000000002</v>
      </c>
      <c r="G24" s="100">
        <f>IF($M24=0,"",0.001*P24*($M24-$M$18-$B$39)/$S24)</f>
        <v>0</v>
      </c>
      <c r="H24" s="101">
        <f>IF(F24="","",IF(D24-F24&lt;0,0,D24-F24))</f>
        <v>5.8085599999999959E-2</v>
      </c>
      <c r="I24" s="100" t="str">
        <f>IF(P24="","",IF(E24-G24&lt;0,0,E24-G24))</f>
        <v/>
      </c>
      <c r="J24" s="99">
        <v>10.8</v>
      </c>
      <c r="K24" s="98">
        <v>3.7</v>
      </c>
      <c r="L24" s="98"/>
      <c r="M24" s="97">
        <v>3514</v>
      </c>
      <c r="N24" s="104">
        <v>0.96</v>
      </c>
      <c r="O24" s="100">
        <v>1.05</v>
      </c>
      <c r="P24" s="92"/>
      <c r="Q24" s="94">
        <f>N24*O24</f>
        <v>1.008</v>
      </c>
      <c r="R24" s="93">
        <v>2</v>
      </c>
      <c r="S24" s="92">
        <v>10</v>
      </c>
      <c r="T24" s="92">
        <v>30</v>
      </c>
      <c r="U24" s="92">
        <f>S24+T24</f>
        <v>40</v>
      </c>
      <c r="V24" s="91"/>
      <c r="W24" s="91"/>
      <c r="X24" s="91"/>
    </row>
    <row r="25" spans="1:25" s="79" customFormat="1" ht="17.100000000000001" customHeight="1">
      <c r="A25" s="103" t="str">
        <f>R24 &amp;"-" &amp;R25</f>
        <v>2-8</v>
      </c>
      <c r="B25" s="102">
        <v>0</v>
      </c>
      <c r="C25" s="100">
        <v>0</v>
      </c>
      <c r="D25" s="101">
        <f>B25*$I$13</f>
        <v>0</v>
      </c>
      <c r="E25" s="100">
        <f>C25*0.74</f>
        <v>0</v>
      </c>
      <c r="F25" s="101">
        <f>IF($M25=0,"",0.005*Q25*($M25-$M$18-$B$39)/$S25)</f>
        <v>0.67090432500000008</v>
      </c>
      <c r="G25" s="100">
        <f>IF($M25=0,"",0.001*P25*($M25-$M$18-$B$39)/$S25)</f>
        <v>0</v>
      </c>
      <c r="H25" s="101">
        <f>IF(F25="","",IF(D25-F25&lt;0,0,D25+F24-F25))</f>
        <v>0</v>
      </c>
      <c r="I25" s="100" t="str">
        <f>IF(P25="","",IF(E25-G25&lt;0,0,E25+G24-G25))</f>
        <v/>
      </c>
      <c r="J25" s="99">
        <v>11.1</v>
      </c>
      <c r="K25" s="98">
        <v>7.9</v>
      </c>
      <c r="L25" s="98"/>
      <c r="M25" s="97">
        <v>3512</v>
      </c>
      <c r="N25" s="96">
        <v>0.93</v>
      </c>
      <c r="O25" s="100">
        <v>1.05</v>
      </c>
      <c r="P25" s="92"/>
      <c r="Q25" s="94">
        <f>N25*O25</f>
        <v>0.97650000000000015</v>
      </c>
      <c r="R25" s="93">
        <v>8</v>
      </c>
      <c r="S25" s="92">
        <v>10</v>
      </c>
      <c r="T25" s="92">
        <v>30</v>
      </c>
      <c r="U25" s="92">
        <f>S25+T25</f>
        <v>40</v>
      </c>
      <c r="V25" s="91"/>
      <c r="W25" s="91"/>
      <c r="X25" s="91"/>
    </row>
    <row r="26" spans="1:25" s="79" customFormat="1" ht="17.100000000000001" customHeight="1">
      <c r="A26" s="103" t="str">
        <f>R25 &amp;"-" &amp;R26</f>
        <v>8-24</v>
      </c>
      <c r="B26" s="102">
        <v>0</v>
      </c>
      <c r="C26" s="100">
        <v>0</v>
      </c>
      <c r="D26" s="101">
        <f>B26*$I$13</f>
        <v>0</v>
      </c>
      <c r="E26" s="100">
        <f>C26*0.74</f>
        <v>0</v>
      </c>
      <c r="F26" s="101">
        <f>IF($M26=0,"",0.005*Q26*($M26-$M$18-$B$39)/$S26)</f>
        <v>0.56269395000000011</v>
      </c>
      <c r="G26" s="100">
        <f>IF($M26=0,"",0.001*P26*($M26-$M$18-$B$39)/$S26)</f>
        <v>0</v>
      </c>
      <c r="H26" s="101">
        <f>IF(F26="","",IF(D26-F26&lt;0,0,D26+F25-F26))</f>
        <v>0</v>
      </c>
      <c r="I26" s="100" t="str">
        <f>IF(P26="","",IF(E26-G26&lt;0,0,E26+G25-G26))</f>
        <v/>
      </c>
      <c r="J26" s="99">
        <v>10.9</v>
      </c>
      <c r="K26" s="98">
        <v>8.1999999999999993</v>
      </c>
      <c r="L26" s="98"/>
      <c r="M26" s="97">
        <v>3512</v>
      </c>
      <c r="N26" s="96">
        <v>0.78</v>
      </c>
      <c r="O26" s="100">
        <v>1.05</v>
      </c>
      <c r="P26" s="92"/>
      <c r="Q26" s="94">
        <f>N26*O26</f>
        <v>0.81900000000000006</v>
      </c>
      <c r="R26" s="93">
        <v>24</v>
      </c>
      <c r="S26" s="92">
        <v>10</v>
      </c>
      <c r="T26" s="92">
        <v>30</v>
      </c>
      <c r="U26" s="92">
        <f>S26+T26</f>
        <v>40</v>
      </c>
      <c r="V26" s="91"/>
      <c r="W26" s="91"/>
      <c r="X26" s="91"/>
    </row>
    <row r="27" spans="1:25" s="79" customFormat="1" ht="17.100000000000001" customHeight="1">
      <c r="A27" s="103" t="str">
        <f>R26 &amp;"-" &amp;R27</f>
        <v>24-48</v>
      </c>
      <c r="B27" s="102">
        <v>0</v>
      </c>
      <c r="C27" s="100">
        <v>0</v>
      </c>
      <c r="D27" s="101">
        <f>B27*$I$13</f>
        <v>0</v>
      </c>
      <c r="E27" s="100">
        <f>C27*0.74</f>
        <v>0</v>
      </c>
      <c r="F27" s="101">
        <f>IF($M27=0,"",0.005*Q27*($M27-$M$18-$B$39)/$S27)</f>
        <v>0.612745875</v>
      </c>
      <c r="G27" s="100">
        <f>IF($M27=0,"",0.001*P27*($M27-$M$18-$B$39)/$S27)</f>
        <v>8.9251500000000011E-2</v>
      </c>
      <c r="H27" s="101">
        <f>IF(F27="","",IF(D27-F27&lt;0,0,D27+F25-F27))</f>
        <v>0</v>
      </c>
      <c r="I27" s="100">
        <f>IF(P27="","",IF(E27-G27&lt;0,0,E27+G25-G27))</f>
        <v>0</v>
      </c>
      <c r="J27" s="99">
        <v>10.7</v>
      </c>
      <c r="K27" s="98">
        <v>9.1</v>
      </c>
      <c r="L27" s="98"/>
      <c r="M27" s="97">
        <v>3511</v>
      </c>
      <c r="N27" s="96">
        <v>0.85</v>
      </c>
      <c r="O27" s="100">
        <v>1.05</v>
      </c>
      <c r="P27" s="95">
        <v>0.65</v>
      </c>
      <c r="Q27" s="94">
        <f>N27*O27</f>
        <v>0.89249999999999996</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0.76</v>
      </c>
      <c r="C29" s="73">
        <f>SUM(C24:C28)</f>
        <v>0.624</v>
      </c>
      <c r="D29" s="74">
        <f>SUM(D24:D27)</f>
        <v>0.75163999999999997</v>
      </c>
      <c r="E29" s="73">
        <f>SUM(E24:E27)</f>
        <v>0.46176</v>
      </c>
      <c r="F29" s="77">
        <f>F27</f>
        <v>0.612745875</v>
      </c>
      <c r="G29" s="73">
        <f>G27</f>
        <v>8.9251500000000011E-2</v>
      </c>
      <c r="H29" s="77">
        <f>IF(F29="","0.00",D29-F29)</f>
        <v>0.13889412499999998</v>
      </c>
      <c r="I29" s="76">
        <f>IF(G29="","0.00",E29-G29)</f>
        <v>0.37250850000000002</v>
      </c>
      <c r="J29" s="69"/>
      <c r="K29" s="69"/>
      <c r="L29" s="69"/>
      <c r="M29" s="68"/>
      <c r="N29" s="67"/>
      <c r="O29" s="65"/>
      <c r="P29" s="66"/>
      <c r="Q29" s="7"/>
      <c r="T29" s="64"/>
      <c r="U29" s="64"/>
    </row>
    <row r="30" spans="1:25" s="60" customFormat="1" ht="33.950000000000003" customHeight="1">
      <c r="A30" s="75" t="s">
        <v>19</v>
      </c>
      <c r="B30" s="74"/>
      <c r="C30" s="73"/>
      <c r="D30" s="72">
        <f>IF(B39=0,0,D29*1000/B39)</f>
        <v>0.66759037214672701</v>
      </c>
      <c r="E30" s="70">
        <f>IF(B39=0,0,E29*1000/B39)</f>
        <v>0.41012523314681582</v>
      </c>
      <c r="F30" s="71"/>
      <c r="G30" s="70"/>
      <c r="H30" s="71">
        <f>IF(B39=0,0,H29*1000/B39)</f>
        <v>0.12336275424105157</v>
      </c>
      <c r="I30" s="70">
        <f>IF(B39=0,0,I29*1000/B39)</f>
        <v>0.33085398347988276</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32" t="s">
        <v>17</v>
      </c>
      <c r="B33" s="232" t="s">
        <v>16</v>
      </c>
      <c r="C33" s="245" t="s">
        <v>15</v>
      </c>
      <c r="D33" s="246"/>
      <c r="E33" s="247"/>
      <c r="F33" s="248" t="s">
        <v>14</v>
      </c>
      <c r="G33" s="248"/>
      <c r="H33" s="248"/>
      <c r="I33" s="245" t="s">
        <v>13</v>
      </c>
      <c r="J33" s="246"/>
      <c r="K33" s="247"/>
      <c r="L33" s="56"/>
      <c r="M33" s="255" t="s">
        <v>6</v>
      </c>
      <c r="N33" s="256"/>
      <c r="O33" s="256"/>
      <c r="P33" s="257"/>
      <c r="Q33" s="1"/>
      <c r="U33" s="15"/>
      <c r="V33" s="15"/>
      <c r="W33" s="15"/>
    </row>
    <row r="34" spans="1:23" s="14" customFormat="1" ht="17.100000000000001" customHeight="1">
      <c r="A34" s="234"/>
      <c r="B34" s="234"/>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1376.1</v>
      </c>
      <c r="C35" s="46">
        <v>0.67600000000000005</v>
      </c>
      <c r="D35" s="46">
        <v>0.247</v>
      </c>
      <c r="E35" s="46"/>
      <c r="F35" s="36">
        <f t="shared" ref="F35:H38" si="0">$U24*C35/1000</f>
        <v>2.7040000000000002E-2</v>
      </c>
      <c r="G35" s="36">
        <f t="shared" si="0"/>
        <v>9.8799999999999982E-3</v>
      </c>
      <c r="H35" s="36">
        <f t="shared" si="0"/>
        <v>0</v>
      </c>
      <c r="I35" s="32">
        <f>$B35/1000*C35</f>
        <v>0.93024359999999995</v>
      </c>
      <c r="J35" s="35">
        <f>$B35/1000*D35</f>
        <v>0.33989669999999994</v>
      </c>
      <c r="K35" s="35">
        <f>$B35/1000*E35</f>
        <v>0</v>
      </c>
      <c r="L35" s="32"/>
      <c r="M35" s="32">
        <f t="shared" ref="M35:O38" si="1">IF(I35=0,0,I35/(I$39+I$38)*100)</f>
        <v>70.148943765686056</v>
      </c>
      <c r="N35" s="32">
        <f t="shared" si="1"/>
        <v>52.668868584551078</v>
      </c>
      <c r="O35" s="31">
        <f t="shared" si="1"/>
        <v>0</v>
      </c>
      <c r="P35" s="45"/>
      <c r="Q35" s="1"/>
    </row>
    <row r="36" spans="1:23" s="14" customFormat="1" ht="17.100000000000001" customHeight="1">
      <c r="A36" s="44" t="str">
        <f>R25&amp;"hr PLS"</f>
        <v>8hr PLS</v>
      </c>
      <c r="B36" s="43">
        <f>M25-$M$18-$B$39</f>
        <v>1374.1</v>
      </c>
      <c r="C36" s="42">
        <v>0.74399999999999999</v>
      </c>
      <c r="D36" s="42">
        <v>0.247</v>
      </c>
      <c r="E36" s="42"/>
      <c r="F36" s="36">
        <f t="shared" si="0"/>
        <v>2.9759999999999998E-2</v>
      </c>
      <c r="G36" s="36">
        <f t="shared" si="0"/>
        <v>9.8799999999999982E-3</v>
      </c>
      <c r="H36" s="36">
        <f t="shared" si="0"/>
        <v>0</v>
      </c>
      <c r="I36" s="32">
        <f>($B36/1000*C36)+SUM(F$35)</f>
        <v>1.0493703999999999</v>
      </c>
      <c r="J36" s="35">
        <f t="shared" ref="J36:J39" si="2">$B36/1000*D36</f>
        <v>0.33940269999999995</v>
      </c>
      <c r="K36" s="42"/>
      <c r="L36" s="41"/>
      <c r="M36" s="32">
        <f t="shared" si="1"/>
        <v>79.132202768151785</v>
      </c>
      <c r="N36" s="32">
        <f t="shared" si="1"/>
        <v>52.592320559575342</v>
      </c>
      <c r="O36" s="31">
        <f t="shared" si="1"/>
        <v>0</v>
      </c>
      <c r="P36" s="40"/>
      <c r="Q36" s="1"/>
    </row>
    <row r="37" spans="1:23" s="14" customFormat="1" ht="17.100000000000001" customHeight="1">
      <c r="A37" s="44" t="str">
        <f>R26&amp;"hr PLS"</f>
        <v>24hr PLS</v>
      </c>
      <c r="B37" s="43">
        <f>M26-$M$18-$B$39</f>
        <v>1374.1</v>
      </c>
      <c r="C37" s="42">
        <v>0.71299999999999997</v>
      </c>
      <c r="D37" s="42">
        <v>0.25900000000000001</v>
      </c>
      <c r="E37" s="42"/>
      <c r="F37" s="36">
        <f t="shared" si="0"/>
        <v>2.852E-2</v>
      </c>
      <c r="G37" s="36">
        <f t="shared" si="0"/>
        <v>1.0359999999999999E-2</v>
      </c>
      <c r="H37" s="36">
        <f t="shared" si="0"/>
        <v>0</v>
      </c>
      <c r="I37" s="32">
        <f>($B37/1000*C37)+SUM(F$35:F36)</f>
        <v>1.0365332999999999</v>
      </c>
      <c r="J37" s="35">
        <f t="shared" si="2"/>
        <v>0.35589189999999998</v>
      </c>
      <c r="K37" s="42"/>
      <c r="L37" s="41"/>
      <c r="M37" s="32">
        <f t="shared" si="1"/>
        <v>78.164167077269852</v>
      </c>
      <c r="N37" s="32">
        <f t="shared" si="1"/>
        <v>55.147413056396829</v>
      </c>
      <c r="O37" s="31">
        <f t="shared" si="1"/>
        <v>0</v>
      </c>
      <c r="P37" s="40"/>
      <c r="Q37" s="1"/>
    </row>
    <row r="38" spans="1:23" s="14" customFormat="1" ht="17.100000000000001" customHeight="1">
      <c r="A38" s="39" t="str">
        <f>R27&amp;"hr PLS"</f>
        <v>48hr PLS</v>
      </c>
      <c r="B38" s="38">
        <f>M27-$M$18-$B$39</f>
        <v>1373.1</v>
      </c>
      <c r="C38" s="37">
        <v>0.73799999999999999</v>
      </c>
      <c r="D38" s="37">
        <v>0.26500000000000001</v>
      </c>
      <c r="E38" s="37"/>
      <c r="F38" s="36">
        <f t="shared" si="0"/>
        <v>2.9520000000000001E-2</v>
      </c>
      <c r="G38" s="36">
        <f t="shared" si="0"/>
        <v>1.0600000000000002E-2</v>
      </c>
      <c r="H38" s="36">
        <f t="shared" si="0"/>
        <v>0</v>
      </c>
      <c r="I38" s="201">
        <f>($B38/1000*C38)+SUM(F$35:F37)</f>
        <v>1.0986678000000001</v>
      </c>
      <c r="J38" s="200">
        <f t="shared" si="2"/>
        <v>0.36387150000000001</v>
      </c>
      <c r="K38" s="34"/>
      <c r="L38" s="33"/>
      <c r="M38" s="32">
        <f t="shared" si="1"/>
        <v>82.849681222606662</v>
      </c>
      <c r="N38" s="32">
        <f t="shared" si="1"/>
        <v>56.383896093029094</v>
      </c>
      <c r="O38" s="31">
        <f t="shared" si="1"/>
        <v>0</v>
      </c>
      <c r="P38" s="30"/>
      <c r="Q38" s="1"/>
      <c r="U38" s="29"/>
      <c r="V38" s="29"/>
      <c r="W38" s="29"/>
    </row>
    <row r="39" spans="1:23" s="14" customFormat="1" ht="17.100000000000001" customHeight="1" thickBot="1">
      <c r="A39" s="28" t="s">
        <v>12</v>
      </c>
      <c r="B39" s="27">
        <v>1125.9000000000001</v>
      </c>
      <c r="C39" s="24">
        <v>0.1</v>
      </c>
      <c r="D39" s="214">
        <v>0.25</v>
      </c>
      <c r="E39" s="24"/>
      <c r="F39" s="26"/>
      <c r="G39" s="26"/>
      <c r="H39" s="25"/>
      <c r="I39" s="24">
        <f>($B39/1000*C39)+SUM(F$35:F38)</f>
        <v>0.22743000000000002</v>
      </c>
      <c r="J39" s="24">
        <f t="shared" si="2"/>
        <v>0.28147500000000003</v>
      </c>
      <c r="K39" s="24"/>
      <c r="L39" s="24"/>
      <c r="M39" s="23">
        <f>IF(I39=0,0,I39/(I$39+I$38)%)</f>
        <v>17.150318777393341</v>
      </c>
      <c r="N39" s="23">
        <f>IF(J39=0,0,J39/(J$39+J$38)%)</f>
        <v>43.616103906970906</v>
      </c>
      <c r="O39" s="22">
        <f>IF(K39=0,0,K39/(K$39+K$38)%)</f>
        <v>0</v>
      </c>
      <c r="P39" s="21"/>
      <c r="Q39" s="1"/>
      <c r="U39" s="15"/>
    </row>
    <row r="40" spans="1:23" s="14" customFormat="1" ht="17.100000000000001" customHeight="1">
      <c r="A40" s="20" t="s">
        <v>11</v>
      </c>
      <c r="B40" s="12">
        <f>B39</f>
        <v>1125.9000000000001</v>
      </c>
      <c r="C40" s="11">
        <f>IF($B40=0,0,(I39+I38)/($B40/1000))</f>
        <v>1.1778113509192645</v>
      </c>
      <c r="D40" s="11">
        <f>IF($B40=0,0,(J39+J38)/($B40/1000))</f>
        <v>0.57318278710365034</v>
      </c>
      <c r="E40" s="19">
        <f>IF($B40=0,0,K40/($B40/1000))</f>
        <v>0</v>
      </c>
      <c r="F40" s="18"/>
      <c r="G40" s="18"/>
      <c r="H40" s="18"/>
      <c r="I40" s="17"/>
      <c r="J40" s="17"/>
      <c r="K40" s="17"/>
      <c r="L40" s="16"/>
      <c r="M40" s="16"/>
      <c r="N40" s="16"/>
      <c r="O40" s="16"/>
      <c r="P40" s="1"/>
      <c r="Q40" s="1"/>
      <c r="U40" s="15"/>
    </row>
    <row r="41" spans="1:23" ht="17.100000000000001" customHeight="1">
      <c r="A41" s="13" t="s">
        <v>10</v>
      </c>
      <c r="B41" s="12"/>
      <c r="C41" s="11">
        <v>1.52</v>
      </c>
      <c r="D41" s="11">
        <v>0.53</v>
      </c>
      <c r="E41" s="11"/>
      <c r="F41" s="10"/>
      <c r="G41" s="7"/>
      <c r="H41" s="7"/>
      <c r="I41" s="7"/>
      <c r="J41" s="7"/>
      <c r="K41" s="7"/>
      <c r="L41" s="7"/>
      <c r="M41" s="9"/>
      <c r="N41" s="8"/>
      <c r="O41" s="7"/>
    </row>
    <row r="42" spans="1:23" ht="17.100000000000001" customHeight="1">
      <c r="A42" s="7"/>
      <c r="B42" s="7"/>
      <c r="C42" s="7"/>
      <c r="D42" s="7"/>
      <c r="E42" s="7"/>
    </row>
    <row r="44" spans="1:23">
      <c r="A44" s="1" t="s">
        <v>9</v>
      </c>
      <c r="E44" s="238" t="s">
        <v>8</v>
      </c>
      <c r="F44" s="238"/>
      <c r="G44" s="238" t="s">
        <v>7</v>
      </c>
      <c r="H44" s="238"/>
      <c r="I44" s="238" t="s">
        <v>6</v>
      </c>
      <c r="J44" s="238"/>
      <c r="K44" s="238"/>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CN-2</v>
      </c>
      <c r="B46" s="1" t="str">
        <f>B3</f>
        <v>GR-2(BS-3A13-02) Gravity Tails</v>
      </c>
      <c r="C46" s="1">
        <f>C18</f>
        <v>82</v>
      </c>
      <c r="D46" s="4">
        <f>R27</f>
        <v>48</v>
      </c>
      <c r="E46" s="3">
        <f>D30</f>
        <v>0.66759037214672701</v>
      </c>
      <c r="F46" s="3">
        <f>E30</f>
        <v>0.41012523314681582</v>
      </c>
      <c r="G46" s="3">
        <f>H30</f>
        <v>0.12336275424105157</v>
      </c>
      <c r="H46" s="3">
        <f>I30</f>
        <v>0.33085398347988276</v>
      </c>
      <c r="I46" s="2">
        <f>M38</f>
        <v>82.849681222606662</v>
      </c>
      <c r="J46" s="2">
        <f>N38</f>
        <v>56.383896093029094</v>
      </c>
      <c r="K46" s="2">
        <f>O38</f>
        <v>0</v>
      </c>
    </row>
  </sheetData>
  <mergeCells count="43">
    <mergeCell ref="K18:L18"/>
    <mergeCell ref="B1:C1"/>
    <mergeCell ref="G1:H1"/>
    <mergeCell ref="N1:O1"/>
    <mergeCell ref="B5:O5"/>
    <mergeCell ref="B7:O7"/>
    <mergeCell ref="A9:B9"/>
    <mergeCell ref="A10:B10"/>
    <mergeCell ref="A11:B11"/>
    <mergeCell ref="A12:B12"/>
    <mergeCell ref="A15:B15"/>
    <mergeCell ref="K17:L17"/>
    <mergeCell ref="R20:R22"/>
    <mergeCell ref="A20:A22"/>
    <mergeCell ref="B20:E20"/>
    <mergeCell ref="F20:G20"/>
    <mergeCell ref="H20:I20"/>
    <mergeCell ref="J20:J22"/>
    <mergeCell ref="K20:K22"/>
    <mergeCell ref="M33:P33"/>
    <mergeCell ref="S20:S22"/>
    <mergeCell ref="T20:T22"/>
    <mergeCell ref="U20:U22"/>
    <mergeCell ref="B21:C21"/>
    <mergeCell ref="D21:E21"/>
    <mergeCell ref="F21:F22"/>
    <mergeCell ref="G21:G22"/>
    <mergeCell ref="H21:H22"/>
    <mergeCell ref="I21:I22"/>
    <mergeCell ref="N21:N22"/>
    <mergeCell ref="L20:L22"/>
    <mergeCell ref="M20:M22"/>
    <mergeCell ref="N20:O20"/>
    <mergeCell ref="P20:P22"/>
    <mergeCell ref="Q20:Q22"/>
    <mergeCell ref="E44:F44"/>
    <mergeCell ref="G44:H44"/>
    <mergeCell ref="I44:K44"/>
    <mergeCell ref="A33:A34"/>
    <mergeCell ref="B33:B34"/>
    <mergeCell ref="C33:E33"/>
    <mergeCell ref="F33:H33"/>
    <mergeCell ref="I33:K33"/>
  </mergeCells>
  <conditionalFormatting sqref="C40:E40">
    <cfRule type="expression" dxfId="36" priority="17" stopIfTrue="1">
      <formula>ISBLANK(C$34)=TRUE</formula>
    </cfRule>
    <cfRule type="cellIs" dxfId="35" priority="18" stopIfTrue="1" operator="equal">
      <formula>""</formula>
    </cfRule>
  </conditionalFormatting>
  <conditionalFormatting sqref="F35:H38">
    <cfRule type="expression" dxfId="34" priority="16" stopIfTrue="1">
      <formula>ISBLANK(C$34)=TRUE</formula>
    </cfRule>
  </conditionalFormatting>
  <conditionalFormatting sqref="I35:K39">
    <cfRule type="expression" dxfId="33" priority="15" stopIfTrue="1">
      <formula>ISBLANK(C$34)=TRUE</formula>
    </cfRule>
  </conditionalFormatting>
  <conditionalFormatting sqref="M35:O39">
    <cfRule type="expression" dxfId="32" priority="14" stopIfTrue="1">
      <formula>ISBLANK(C$34)=TRUE</formula>
    </cfRule>
  </conditionalFormatting>
  <conditionalFormatting sqref="M17:M18 C18 N1:O1 B39 K24:K25 J23:J25 M27:P27 B24:C27 J26:K27 M24:O26 O25:O27">
    <cfRule type="cellIs" dxfId="31" priority="13" stopIfTrue="1" operator="equal">
      <formula>""</formula>
    </cfRule>
  </conditionalFormatting>
  <conditionalFormatting sqref="H17:H18 C17 B7:O7 B5:O5 B3 B1:C1 G1:H1 C9:C10 R24:R27 I10:I11">
    <cfRule type="cellIs" dxfId="30" priority="12" stopIfTrue="1" operator="equal">
      <formula>""</formula>
    </cfRule>
  </conditionalFormatting>
  <conditionalFormatting sqref="G31 I31">
    <cfRule type="cellIs" dxfId="29" priority="11" stopIfTrue="1" operator="lessThan">
      <formula>0</formula>
    </cfRule>
  </conditionalFormatting>
  <conditionalFormatting sqref="C12">
    <cfRule type="expression" dxfId="28" priority="10" stopIfTrue="1">
      <formula>ISERROR($C$11)</formula>
    </cfRule>
  </conditionalFormatting>
  <conditionalFormatting sqref="I45 I34 F34 M34">
    <cfRule type="expression" dxfId="27" priority="9" stopIfTrue="1">
      <formula>ISBLANK($C$34)=TRUE</formula>
    </cfRule>
  </conditionalFormatting>
  <conditionalFormatting sqref="J45 G34 J34 N34">
    <cfRule type="expression" dxfId="26" priority="8" stopIfTrue="1">
      <formula>ISBLANK($D$34)=TRUE</formula>
    </cfRule>
  </conditionalFormatting>
  <conditionalFormatting sqref="K45 H34 K34 O34">
    <cfRule type="expression" dxfId="25" priority="7" stopIfTrue="1">
      <formula>ISBLANK($E$34)=TRUE</formula>
    </cfRule>
  </conditionalFormatting>
  <conditionalFormatting sqref="L15:M15">
    <cfRule type="expression" dxfId="24" priority="6" stopIfTrue="1">
      <formula>"$C$15&lt;=0"</formula>
    </cfRule>
  </conditionalFormatting>
  <conditionalFormatting sqref="C15">
    <cfRule type="expression" dxfId="23" priority="5" stopIfTrue="1">
      <formula>ISBLANK($C$15)</formula>
    </cfRule>
  </conditionalFormatting>
  <conditionalFormatting sqref="D15 F15 H15 J15">
    <cfRule type="expression" dxfId="22" priority="4" stopIfTrue="1">
      <formula>NOT(OR((AND(ISNUMBER($C$15),$C$15&gt;0)),(ISBLANK($C$15))))</formula>
    </cfRule>
  </conditionalFormatting>
  <conditionalFormatting sqref="E15 G15 I15">
    <cfRule type="expression" dxfId="21" priority="3" stopIfTrue="1">
      <formula>AND((AND(ISNUMBER($C$15),$C$15&gt;0)),ISBLANK(E15))</formula>
    </cfRule>
  </conditionalFormatting>
  <conditionalFormatting sqref="C35:E39">
    <cfRule type="expression" dxfId="20" priority="1" stopIfTrue="1">
      <formula>ISBLANK(C$34)=TRUE</formula>
    </cfRule>
    <cfRule type="cellIs" dxfId="19"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xl/worksheets/sheet5.xml><?xml version="1.0" encoding="utf-8"?>
<worksheet xmlns="http://schemas.openxmlformats.org/spreadsheetml/2006/main" xmlns:r="http://schemas.openxmlformats.org/officeDocument/2006/relationships">
  <sheetPr>
    <tabColor rgb="FFFFFF00"/>
    <pageSetUpPr fitToPage="1"/>
  </sheetPr>
  <dimension ref="A1:AA46"/>
  <sheetViews>
    <sheetView showGridLines="0" zoomScale="75" zoomScaleNormal="75" zoomScaleSheetLayoutView="75" workbookViewId="0">
      <selection activeCell="E18" sqref="E18"/>
    </sheetView>
  </sheetViews>
  <sheetFormatPr defaultColWidth="12.85546875" defaultRowHeight="15.75"/>
  <cols>
    <col min="1" max="1" width="15.5703125" style="1" customWidth="1"/>
    <col min="2"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19" t="s">
        <v>105</v>
      </c>
      <c r="C1" s="219"/>
      <c r="F1" s="60" t="s">
        <v>74</v>
      </c>
      <c r="G1" s="219" t="s">
        <v>76</v>
      </c>
      <c r="H1" s="219"/>
      <c r="K1" s="156"/>
      <c r="L1" s="156"/>
      <c r="M1" s="156" t="s">
        <v>73</v>
      </c>
      <c r="N1" s="237"/>
      <c r="O1" s="237"/>
      <c r="P1" s="153"/>
      <c r="Q1" s="152"/>
      <c r="R1" s="151"/>
      <c r="T1" s="150"/>
      <c r="V1" s="209"/>
      <c r="W1" s="209"/>
      <c r="AA1" s="1" t="s">
        <v>72</v>
      </c>
    </row>
    <row r="2" spans="1:27" ht="17.100000000000001" customHeight="1">
      <c r="A2" s="60"/>
      <c r="D2" s="60"/>
      <c r="E2" s="150"/>
      <c r="F2" s="157"/>
      <c r="G2" s="150"/>
      <c r="I2" s="156"/>
      <c r="J2" s="156"/>
      <c r="K2" s="156"/>
      <c r="L2" s="156"/>
      <c r="M2" s="60"/>
      <c r="N2" s="64"/>
      <c r="O2" s="7"/>
      <c r="P2" s="153"/>
      <c r="Q2" s="152"/>
      <c r="R2" s="151"/>
      <c r="T2" s="150"/>
      <c r="V2" s="209"/>
      <c r="W2" s="209"/>
      <c r="AA2" s="1" t="s">
        <v>71</v>
      </c>
    </row>
    <row r="3" spans="1:27" ht="17.100000000000001" customHeight="1">
      <c r="A3" s="60" t="s">
        <v>70</v>
      </c>
      <c r="B3" s="155" t="s">
        <v>110</v>
      </c>
      <c r="C3" s="145"/>
      <c r="D3" s="145"/>
      <c r="E3" s="145"/>
      <c r="F3" s="145"/>
      <c r="G3" s="145"/>
      <c r="H3" s="145"/>
      <c r="I3" s="145"/>
      <c r="J3" s="145"/>
      <c r="K3" s="145"/>
      <c r="L3" s="145"/>
      <c r="M3" s="145"/>
      <c r="N3" s="145"/>
      <c r="O3" s="145"/>
      <c r="P3" s="153"/>
      <c r="Q3" s="152"/>
      <c r="R3" s="151"/>
      <c r="T3" s="150"/>
      <c r="V3" s="209"/>
      <c r="W3" s="209"/>
    </row>
    <row r="4" spans="1:27" ht="17.100000000000001" customHeight="1">
      <c r="A4" s="60"/>
      <c r="B4" s="60"/>
      <c r="C4" s="150"/>
      <c r="D4" s="150"/>
      <c r="E4" s="60"/>
      <c r="F4" s="130"/>
      <c r="G4" s="60"/>
      <c r="H4" s="60"/>
      <c r="I4" s="130"/>
      <c r="J4" s="154"/>
      <c r="N4" s="7"/>
      <c r="O4" s="7"/>
      <c r="P4" s="153"/>
      <c r="Q4" s="152"/>
      <c r="R4" s="151"/>
      <c r="T4" s="150"/>
      <c r="V4" s="209"/>
      <c r="W4" s="209"/>
    </row>
    <row r="5" spans="1:27" ht="17.100000000000001" customHeight="1">
      <c r="A5" s="149" t="s">
        <v>69</v>
      </c>
      <c r="B5" s="219" t="s">
        <v>80</v>
      </c>
      <c r="C5" s="219"/>
      <c r="D5" s="219"/>
      <c r="E5" s="219"/>
      <c r="F5" s="219"/>
      <c r="G5" s="219"/>
      <c r="H5" s="219"/>
      <c r="I5" s="219"/>
      <c r="J5" s="219"/>
      <c r="K5" s="219"/>
      <c r="L5" s="219"/>
      <c r="M5" s="219"/>
      <c r="N5" s="219"/>
      <c r="O5" s="219"/>
      <c r="P5" s="7"/>
      <c r="Q5" s="7"/>
      <c r="S5" s="209"/>
      <c r="T5" s="209"/>
      <c r="V5" s="209"/>
      <c r="W5" s="209"/>
    </row>
    <row r="6" spans="1:27" ht="17.100000000000001" customHeight="1">
      <c r="A6" s="64"/>
      <c r="B6" s="61"/>
      <c r="C6" s="61"/>
      <c r="D6" s="61"/>
      <c r="E6" s="61"/>
      <c r="F6" s="61"/>
      <c r="G6" s="61"/>
      <c r="H6" s="61"/>
      <c r="I6" s="61"/>
      <c r="J6" s="61"/>
      <c r="M6" s="7"/>
      <c r="N6" s="7"/>
      <c r="O6" s="7"/>
      <c r="P6" s="7"/>
      <c r="Q6" s="7"/>
      <c r="S6" s="209"/>
      <c r="T6" s="57"/>
      <c r="V6" s="209"/>
      <c r="W6" s="209"/>
    </row>
    <row r="7" spans="1:27" s="145" customFormat="1" ht="65.25" customHeight="1">
      <c r="A7" s="148" t="s">
        <v>68</v>
      </c>
      <c r="B7" s="219" t="s">
        <v>81</v>
      </c>
      <c r="C7" s="219"/>
      <c r="D7" s="219"/>
      <c r="E7" s="219"/>
      <c r="F7" s="219"/>
      <c r="G7" s="219"/>
      <c r="H7" s="219"/>
      <c r="I7" s="219"/>
      <c r="J7" s="219"/>
      <c r="K7" s="219"/>
      <c r="L7" s="219"/>
      <c r="M7" s="219"/>
      <c r="N7" s="219"/>
      <c r="O7" s="219"/>
      <c r="P7" s="147"/>
      <c r="Q7" s="147"/>
      <c r="S7" s="146"/>
      <c r="T7" s="146"/>
      <c r="U7" s="146"/>
      <c r="V7" s="146"/>
      <c r="W7" s="146"/>
    </row>
    <row r="8" spans="1:27" ht="17.100000000000001" customHeight="1">
      <c r="A8" s="64"/>
      <c r="B8" s="145"/>
      <c r="C8" s="145"/>
      <c r="D8" s="145"/>
      <c r="E8" s="145"/>
      <c r="F8" s="145"/>
      <c r="G8" s="145"/>
      <c r="H8" s="145"/>
      <c r="I8" s="145"/>
      <c r="J8" s="145"/>
      <c r="K8" s="7"/>
      <c r="L8" s="7"/>
      <c r="O8" s="128"/>
      <c r="R8" s="209"/>
      <c r="S8" s="120"/>
      <c r="T8" s="120"/>
      <c r="U8" s="120"/>
      <c r="V8" s="120"/>
      <c r="W8" s="120"/>
    </row>
    <row r="9" spans="1:27" ht="17.100000000000001" customHeight="1">
      <c r="A9" s="226" t="s">
        <v>67</v>
      </c>
      <c r="B9" s="226"/>
      <c r="C9" s="126">
        <v>1000</v>
      </c>
      <c r="D9" s="133" t="str">
        <f>"g of "&amp;B3</f>
        <v>g of GR-3(BS-3A13-01) Gravity Tails</v>
      </c>
      <c r="E9" s="144"/>
      <c r="F9" s="143"/>
      <c r="H9" s="137" t="s">
        <v>66</v>
      </c>
      <c r="I9" s="211" t="s">
        <v>65</v>
      </c>
      <c r="J9" s="142" t="s">
        <v>64</v>
      </c>
      <c r="K9" s="142"/>
      <c r="L9" s="142"/>
      <c r="M9" s="7"/>
      <c r="O9" s="7"/>
      <c r="R9" s="209"/>
      <c r="T9" s="141"/>
      <c r="U9" s="120"/>
      <c r="V9" s="120"/>
      <c r="W9" s="120"/>
    </row>
    <row r="10" spans="1:27" ht="17.100000000000001" customHeight="1">
      <c r="A10" s="226" t="s">
        <v>63</v>
      </c>
      <c r="B10" s="226"/>
      <c r="C10" s="140">
        <v>0.4</v>
      </c>
      <c r="D10" s="133" t="s">
        <v>62</v>
      </c>
      <c r="E10" s="61"/>
      <c r="F10" s="61"/>
      <c r="H10" s="137" t="s">
        <v>61</v>
      </c>
      <c r="I10" s="126">
        <v>0</v>
      </c>
      <c r="J10" s="134" t="s">
        <v>60</v>
      </c>
      <c r="M10" s="212" t="str">
        <f>IF(I10&lt;=0,"","Pb(NO3)2 Added:")</f>
        <v/>
      </c>
      <c r="N10" s="139" t="str">
        <f>IF(I10&lt;=0,"",I10*C9/1000/1000&amp;" g")</f>
        <v/>
      </c>
      <c r="O10" s="138"/>
      <c r="T10" s="57"/>
      <c r="V10" s="209"/>
      <c r="W10" s="209"/>
    </row>
    <row r="11" spans="1:27" ht="17.100000000000001" customHeight="1">
      <c r="A11" s="226" t="s">
        <v>59</v>
      </c>
      <c r="B11" s="226"/>
      <c r="C11" s="126">
        <f>IF(C10="","",(C9/C10)-C9)</f>
        <v>1500</v>
      </c>
      <c r="D11" s="133" t="s">
        <v>58</v>
      </c>
      <c r="F11" s="61"/>
      <c r="H11" s="137" t="s">
        <v>57</v>
      </c>
      <c r="I11" s="136">
        <v>0.5</v>
      </c>
      <c r="J11" s="135" t="s">
        <v>56</v>
      </c>
      <c r="K11" s="134"/>
      <c r="L11" s="134"/>
      <c r="R11" s="209"/>
      <c r="T11" s="120"/>
      <c r="U11" s="120"/>
      <c r="V11" s="120"/>
      <c r="W11" s="120"/>
    </row>
    <row r="12" spans="1:27" ht="17.100000000000001" customHeight="1">
      <c r="A12" s="226" t="s">
        <v>55</v>
      </c>
      <c r="B12" s="226"/>
      <c r="C12" s="126">
        <f>IF(C10="","",$M$18+$C$9+$C$11)</f>
        <v>3512</v>
      </c>
      <c r="D12" s="133" t="s">
        <v>41</v>
      </c>
      <c r="E12" s="61"/>
      <c r="F12" s="61"/>
      <c r="H12" s="212" t="str">
        <f>IF(I11&lt;=0,"","Target Additon:")</f>
        <v>Target Additon:</v>
      </c>
      <c r="I12" s="131">
        <f>IF(I11&lt;=0,"",I11*C11/I13/1000)</f>
        <v>0.75834175935288173</v>
      </c>
      <c r="Q12" s="7"/>
      <c r="T12" s="57"/>
      <c r="V12" s="209"/>
      <c r="W12" s="209"/>
    </row>
    <row r="13" spans="1:27" ht="17.100000000000001" customHeight="1">
      <c r="A13" s="123"/>
      <c r="G13" s="61"/>
      <c r="H13" s="130" t="s">
        <v>54</v>
      </c>
      <c r="I13" s="129">
        <v>0.98899999999999999</v>
      </c>
      <c r="J13" s="61"/>
      <c r="P13" s="128"/>
      <c r="Q13" s="127"/>
      <c r="R13" s="209"/>
      <c r="T13" s="120"/>
      <c r="U13" s="120"/>
      <c r="V13" s="120"/>
      <c r="W13" s="120"/>
    </row>
    <row r="14" spans="1:27" ht="17.100000000000001" customHeight="1">
      <c r="A14" s="123"/>
      <c r="B14" s="123"/>
      <c r="E14" s="61"/>
      <c r="F14" s="61"/>
      <c r="G14" s="61"/>
      <c r="H14" s="211"/>
      <c r="I14" s="123"/>
      <c r="J14" s="61"/>
      <c r="K14" s="61"/>
      <c r="L14" s="61"/>
      <c r="P14" s="128"/>
      <c r="Q14" s="127"/>
      <c r="R14" s="209"/>
      <c r="T14" s="120"/>
      <c r="U14" s="120"/>
      <c r="V14" s="120"/>
      <c r="W14" s="120"/>
    </row>
    <row r="15" spans="1:27" ht="17.100000000000001" customHeight="1">
      <c r="A15" s="226" t="s">
        <v>53</v>
      </c>
      <c r="B15" s="226"/>
      <c r="C15" s="126">
        <v>1</v>
      </c>
      <c r="D15" s="8" t="s">
        <v>52</v>
      </c>
      <c r="E15" s="8">
        <v>23</v>
      </c>
      <c r="F15" s="125" t="s">
        <v>51</v>
      </c>
      <c r="G15" s="8" t="s">
        <v>108</v>
      </c>
      <c r="H15" s="209" t="s">
        <v>50</v>
      </c>
      <c r="I15" s="8">
        <v>50</v>
      </c>
      <c r="J15" s="1" t="s">
        <v>49</v>
      </c>
      <c r="R15" s="209"/>
      <c r="V15" s="209"/>
    </row>
    <row r="16" spans="1:27" ht="17.100000000000001" customHeight="1">
      <c r="A16" s="64"/>
      <c r="C16" s="61"/>
      <c r="D16" s="61"/>
      <c r="E16" s="61"/>
      <c r="F16" s="61"/>
      <c r="G16" s="61"/>
      <c r="P16" s="7"/>
      <c r="Q16" s="7"/>
      <c r="R16" s="7"/>
      <c r="T16" s="209"/>
      <c r="U16" s="57"/>
      <c r="V16" s="209"/>
      <c r="W16" s="209"/>
    </row>
    <row r="17" spans="1:25" ht="17.100000000000001" customHeight="1">
      <c r="B17" s="211" t="s">
        <v>48</v>
      </c>
      <c r="C17" s="8">
        <v>75</v>
      </c>
      <c r="D17" s="61" t="s">
        <v>44</v>
      </c>
      <c r="G17" s="123" t="s">
        <v>47</v>
      </c>
      <c r="H17" s="123" t="s">
        <v>72</v>
      </c>
      <c r="K17" s="222" t="s">
        <v>46</v>
      </c>
      <c r="L17" s="222"/>
      <c r="M17" s="122">
        <v>1</v>
      </c>
      <c r="P17" s="8"/>
      <c r="Q17" s="8"/>
      <c r="R17" s="8"/>
      <c r="T17" s="209"/>
      <c r="U17" s="57"/>
      <c r="V17" s="209"/>
      <c r="W17" s="209"/>
    </row>
    <row r="18" spans="1:25" ht="17.100000000000001" customHeight="1">
      <c r="B18" s="211" t="s">
        <v>45</v>
      </c>
      <c r="C18" s="8">
        <v>67</v>
      </c>
      <c r="D18" s="61" t="s">
        <v>44</v>
      </c>
      <c r="G18" s="123" t="s">
        <v>43</v>
      </c>
      <c r="H18" s="123" t="s">
        <v>71</v>
      </c>
      <c r="K18" s="223" t="s">
        <v>42</v>
      </c>
      <c r="L18" s="223"/>
      <c r="M18" s="122">
        <v>1012</v>
      </c>
      <c r="N18" s="57" t="s">
        <v>41</v>
      </c>
      <c r="P18" s="8"/>
      <c r="Q18" s="121"/>
      <c r="R18" s="121"/>
      <c r="S18" s="7"/>
    </row>
    <row r="19" spans="1:25" ht="17.100000000000001" customHeight="1">
      <c r="A19" s="7"/>
      <c r="B19" s="7"/>
      <c r="C19" s="7"/>
      <c r="D19" s="7"/>
      <c r="E19" s="7"/>
      <c r="F19" s="7"/>
      <c r="G19" s="7"/>
      <c r="H19" s="7"/>
      <c r="I19" s="7"/>
      <c r="J19" s="7"/>
      <c r="K19" s="209"/>
      <c r="L19" s="209"/>
      <c r="N19" s="8"/>
      <c r="O19" s="8"/>
      <c r="P19" s="8"/>
      <c r="Q19" s="121"/>
      <c r="R19" s="121"/>
      <c r="S19" s="7"/>
      <c r="T19" s="120"/>
      <c r="U19" s="120"/>
      <c r="V19" s="120"/>
      <c r="W19" s="120"/>
    </row>
    <row r="20" spans="1:25" ht="17.100000000000001" customHeight="1">
      <c r="A20" s="227" t="s">
        <v>40</v>
      </c>
      <c r="B20" s="224" t="s">
        <v>39</v>
      </c>
      <c r="C20" s="254"/>
      <c r="D20" s="254"/>
      <c r="E20" s="225"/>
      <c r="F20" s="224" t="s">
        <v>38</v>
      </c>
      <c r="G20" s="225"/>
      <c r="H20" s="224" t="s">
        <v>37</v>
      </c>
      <c r="I20" s="225"/>
      <c r="J20" s="260" t="s">
        <v>36</v>
      </c>
      <c r="K20" s="260" t="s">
        <v>35</v>
      </c>
      <c r="L20" s="227" t="s">
        <v>34</v>
      </c>
      <c r="M20" s="263" t="s">
        <v>33</v>
      </c>
      <c r="N20" s="258" t="s">
        <v>32</v>
      </c>
      <c r="O20" s="259"/>
      <c r="P20" s="251" t="s">
        <v>31</v>
      </c>
      <c r="Q20" s="227" t="s">
        <v>30</v>
      </c>
      <c r="R20" s="227" t="s">
        <v>29</v>
      </c>
      <c r="S20" s="227" t="s">
        <v>28</v>
      </c>
      <c r="T20" s="227" t="s">
        <v>27</v>
      </c>
      <c r="U20" s="232" t="s">
        <v>26</v>
      </c>
      <c r="V20" s="120"/>
      <c r="W20" s="120"/>
      <c r="X20" s="120"/>
    </row>
    <row r="21" spans="1:25" ht="17.100000000000001" customHeight="1">
      <c r="A21" s="228"/>
      <c r="B21" s="249" t="s">
        <v>25</v>
      </c>
      <c r="C21" s="250"/>
      <c r="D21" s="249" t="s">
        <v>24</v>
      </c>
      <c r="E21" s="250"/>
      <c r="F21" s="230" t="s">
        <v>1</v>
      </c>
      <c r="G21" s="239" t="s">
        <v>0</v>
      </c>
      <c r="H21" s="241" t="s">
        <v>1</v>
      </c>
      <c r="I21" s="243" t="s">
        <v>0</v>
      </c>
      <c r="J21" s="261"/>
      <c r="K21" s="261"/>
      <c r="L21" s="228"/>
      <c r="M21" s="264"/>
      <c r="N21" s="235" t="s">
        <v>23</v>
      </c>
      <c r="O21" s="119" t="s">
        <v>22</v>
      </c>
      <c r="P21" s="252"/>
      <c r="Q21" s="228"/>
      <c r="R21" s="228"/>
      <c r="S21" s="228"/>
      <c r="T21" s="228"/>
      <c r="U21" s="233"/>
      <c r="V21" s="209"/>
      <c r="W21" s="209"/>
      <c r="X21" s="209"/>
    </row>
    <row r="22" spans="1:25" ht="17.100000000000001" customHeight="1">
      <c r="A22" s="229"/>
      <c r="B22" s="116" t="s">
        <v>1</v>
      </c>
      <c r="C22" s="117" t="s">
        <v>21</v>
      </c>
      <c r="D22" s="116" t="s">
        <v>1</v>
      </c>
      <c r="E22" s="115" t="s">
        <v>0</v>
      </c>
      <c r="F22" s="231"/>
      <c r="G22" s="240"/>
      <c r="H22" s="242"/>
      <c r="I22" s="244"/>
      <c r="J22" s="262"/>
      <c r="K22" s="262"/>
      <c r="L22" s="229"/>
      <c r="M22" s="265"/>
      <c r="N22" s="236"/>
      <c r="O22" s="114"/>
      <c r="P22" s="253"/>
      <c r="Q22" s="229"/>
      <c r="R22" s="229"/>
      <c r="S22" s="229"/>
      <c r="T22" s="229"/>
      <c r="U22" s="234"/>
      <c r="V22" s="8"/>
      <c r="W22" s="8"/>
      <c r="X22" s="8"/>
    </row>
    <row r="23" spans="1:25" s="79" customFormat="1" ht="17.100000000000001" customHeight="1">
      <c r="A23" s="107"/>
      <c r="B23" s="112"/>
      <c r="C23" s="113"/>
      <c r="D23" s="112"/>
      <c r="E23" s="100"/>
      <c r="F23" s="112"/>
      <c r="G23" s="111"/>
      <c r="H23" s="112"/>
      <c r="I23" s="111"/>
      <c r="J23" s="99"/>
      <c r="K23" s="110"/>
      <c r="L23" s="110"/>
      <c r="M23" s="110"/>
      <c r="N23" s="213"/>
      <c r="O23" s="210"/>
      <c r="P23" s="107"/>
      <c r="Q23" s="107"/>
      <c r="R23" s="106"/>
      <c r="S23" s="106"/>
      <c r="T23" s="106"/>
      <c r="U23" s="106"/>
      <c r="V23" s="91"/>
      <c r="W23" s="91"/>
      <c r="X23" s="91"/>
    </row>
    <row r="24" spans="1:25" s="79" customFormat="1" ht="17.100000000000001" customHeight="1">
      <c r="A24" s="105" t="str">
        <f>"0-" &amp;R24</f>
        <v>0-2</v>
      </c>
      <c r="B24" s="102"/>
      <c r="C24" s="100"/>
      <c r="D24" s="101">
        <f>B24*$I$13</f>
        <v>0</v>
      </c>
      <c r="E24" s="100">
        <f>C24*0.74</f>
        <v>0</v>
      </c>
      <c r="F24" s="101" t="str">
        <f>IF($M24=0,"",0.005*Q24*($M24-$M$18-$B$39)/$S24)</f>
        <v/>
      </c>
      <c r="G24" s="100" t="str">
        <f>IF($M24=0,"",0.001*P24*($M24-$M$18-$B$39)/$S24)</f>
        <v/>
      </c>
      <c r="H24" s="101" t="str">
        <f>IF(F24="","",IF(D24-F24&lt;0,0,D24-F24))</f>
        <v/>
      </c>
      <c r="I24" s="100" t="str">
        <f>IF(P24="","",IF(E24-G24&lt;0,0,E24-G24))</f>
        <v/>
      </c>
      <c r="J24" s="99"/>
      <c r="K24" s="98"/>
      <c r="L24" s="98"/>
      <c r="M24" s="97"/>
      <c r="N24" s="104"/>
      <c r="O24" s="100"/>
      <c r="P24" s="92"/>
      <c r="Q24" s="94">
        <f>N24*O24</f>
        <v>0</v>
      </c>
      <c r="R24" s="93">
        <v>2</v>
      </c>
      <c r="S24" s="92">
        <v>10</v>
      </c>
      <c r="T24" s="92">
        <v>30</v>
      </c>
      <c r="U24" s="92">
        <f>S24+T24</f>
        <v>40</v>
      </c>
      <c r="V24" s="91"/>
      <c r="W24" s="91"/>
      <c r="X24" s="91"/>
    </row>
    <row r="25" spans="1:25" s="79" customFormat="1" ht="17.100000000000001" customHeight="1">
      <c r="A25" s="103" t="str">
        <f>R24 &amp;"-" &amp;R25</f>
        <v>2-8</v>
      </c>
      <c r="B25" s="102"/>
      <c r="C25" s="100"/>
      <c r="D25" s="101">
        <f>B25*$I$13</f>
        <v>0</v>
      </c>
      <c r="E25" s="100">
        <f>C25*0.74</f>
        <v>0</v>
      </c>
      <c r="F25" s="101" t="str">
        <f>IF($M25=0,"",0.005*Q25*($M25-$M$18-$B$39)/$S25)</f>
        <v/>
      </c>
      <c r="G25" s="100" t="str">
        <f>IF($M25=0,"",0.001*P25*($M25-$M$18-$B$39)/$S25)</f>
        <v/>
      </c>
      <c r="H25" s="101" t="str">
        <f>IF(F25="","",IF(D25-F25&lt;0,0,D25+F24-F25))</f>
        <v/>
      </c>
      <c r="I25" s="100" t="str">
        <f>IF(P25="","",IF(E25-G25&lt;0,0,E25+G24-G25))</f>
        <v/>
      </c>
      <c r="J25" s="99"/>
      <c r="K25" s="98"/>
      <c r="L25" s="98"/>
      <c r="M25" s="97"/>
      <c r="N25" s="96"/>
      <c r="O25" s="100"/>
      <c r="P25" s="92"/>
      <c r="Q25" s="94">
        <f>N25*O25</f>
        <v>0</v>
      </c>
      <c r="R25" s="93">
        <v>8</v>
      </c>
      <c r="S25" s="92">
        <v>10</v>
      </c>
      <c r="T25" s="92">
        <v>30</v>
      </c>
      <c r="U25" s="92">
        <f>S25+T25</f>
        <v>40</v>
      </c>
      <c r="V25" s="91"/>
      <c r="W25" s="91"/>
      <c r="X25" s="91"/>
    </row>
    <row r="26" spans="1:25" s="79" customFormat="1" ht="17.100000000000001" customHeight="1">
      <c r="A26" s="103" t="str">
        <f>R25 &amp;"-" &amp;R26</f>
        <v>8-24</v>
      </c>
      <c r="B26" s="102"/>
      <c r="C26" s="100"/>
      <c r="D26" s="101">
        <f>B26*$I$13</f>
        <v>0</v>
      </c>
      <c r="E26" s="100">
        <f>C26*0.74</f>
        <v>0</v>
      </c>
      <c r="F26" s="101" t="str">
        <f>IF($M26=0,"",0.005*Q26*($M26-$M$18-$B$39)/$S26)</f>
        <v/>
      </c>
      <c r="G26" s="100" t="str">
        <f>IF($M26=0,"",0.001*P26*($M26-$M$18-$B$39)/$S26)</f>
        <v/>
      </c>
      <c r="H26" s="101" t="str">
        <f>IF(F26="","",IF(D26-F26&lt;0,0,D26+F25-F26))</f>
        <v/>
      </c>
      <c r="I26" s="100" t="str">
        <f>IF(P26="","",IF(E26-G26&lt;0,0,E26+G25-G26))</f>
        <v/>
      </c>
      <c r="J26" s="99"/>
      <c r="K26" s="98"/>
      <c r="L26" s="98"/>
      <c r="M26" s="97"/>
      <c r="N26" s="96"/>
      <c r="O26" s="100"/>
      <c r="P26" s="92"/>
      <c r="Q26" s="94">
        <f>N26*O26</f>
        <v>0</v>
      </c>
      <c r="R26" s="93">
        <v>24</v>
      </c>
      <c r="S26" s="92">
        <v>10</v>
      </c>
      <c r="T26" s="92">
        <v>30</v>
      </c>
      <c r="U26" s="92">
        <f>S26+T26</f>
        <v>40</v>
      </c>
      <c r="V26" s="91"/>
      <c r="W26" s="91"/>
      <c r="X26" s="91"/>
    </row>
    <row r="27" spans="1:25" s="79" customFormat="1" ht="17.100000000000001" customHeight="1">
      <c r="A27" s="103" t="str">
        <f>R26 &amp;"-" &amp;R27</f>
        <v>24-48</v>
      </c>
      <c r="B27" s="102"/>
      <c r="C27" s="100"/>
      <c r="D27" s="101">
        <f>B27*$I$13</f>
        <v>0</v>
      </c>
      <c r="E27" s="100">
        <f>C27*0.74</f>
        <v>0</v>
      </c>
      <c r="F27" s="101" t="str">
        <f>IF($M27=0,"",0.005*Q27*($M27-$M$18-$B$39)/$S27)</f>
        <v/>
      </c>
      <c r="G27" s="100" t="str">
        <f>IF($M27=0,"",0.001*P27*($M27-$M$18-$B$39)/$S27)</f>
        <v/>
      </c>
      <c r="H27" s="101" t="str">
        <f>IF(F27="","",IF(D27-F27&lt;0,0,D27+F25-F27))</f>
        <v/>
      </c>
      <c r="I27" s="100" t="str">
        <f>IF(P27="","",IF(E27-G27&lt;0,0,E27+G25-G27))</f>
        <v/>
      </c>
      <c r="J27" s="99"/>
      <c r="K27" s="98"/>
      <c r="L27" s="98"/>
      <c r="M27" s="97"/>
      <c r="N27" s="96"/>
      <c r="O27" s="100"/>
      <c r="P27" s="95"/>
      <c r="Q27" s="94">
        <f>N27*O27</f>
        <v>0</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0</v>
      </c>
      <c r="C29" s="73">
        <f>SUM(C24:C28)</f>
        <v>0</v>
      </c>
      <c r="D29" s="74">
        <f>SUM(D24:D27)</f>
        <v>0</v>
      </c>
      <c r="E29" s="73">
        <f>SUM(E24:E27)</f>
        <v>0</v>
      </c>
      <c r="F29" s="77" t="str">
        <f>F27</f>
        <v/>
      </c>
      <c r="G29" s="73" t="str">
        <f>G27</f>
        <v/>
      </c>
      <c r="H29" s="77" t="str">
        <f>IF(F29="","0.00",D29-F29)</f>
        <v>0.00</v>
      </c>
      <c r="I29" s="76" t="str">
        <f>IF(G29="","0.00",E29-G29)</f>
        <v>0.00</v>
      </c>
      <c r="J29" s="69"/>
      <c r="K29" s="69"/>
      <c r="L29" s="69"/>
      <c r="M29" s="68"/>
      <c r="N29" s="67"/>
      <c r="O29" s="65"/>
      <c r="P29" s="66"/>
      <c r="Q29" s="7"/>
      <c r="T29" s="64"/>
      <c r="U29" s="64"/>
    </row>
    <row r="30" spans="1:25" s="60" customFormat="1" ht="33.950000000000003" customHeight="1">
      <c r="A30" s="75" t="s">
        <v>19</v>
      </c>
      <c r="B30" s="74"/>
      <c r="C30" s="73"/>
      <c r="D30" s="72">
        <f>IF(B39=0,0,D29*1000/B39)</f>
        <v>0</v>
      </c>
      <c r="E30" s="70">
        <f>IF(B39=0,0,E29*1000/B39)</f>
        <v>0</v>
      </c>
      <c r="F30" s="71"/>
      <c r="G30" s="70"/>
      <c r="H30" s="71">
        <f>IF(B39=0,0,H29*1000/B39)</f>
        <v>0</v>
      </c>
      <c r="I30" s="70">
        <f>IF(B39=0,0,I29*1000/B39)</f>
        <v>0</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32" t="s">
        <v>17</v>
      </c>
      <c r="B33" s="232" t="s">
        <v>16</v>
      </c>
      <c r="C33" s="245" t="s">
        <v>15</v>
      </c>
      <c r="D33" s="246"/>
      <c r="E33" s="247"/>
      <c r="F33" s="248" t="s">
        <v>14</v>
      </c>
      <c r="G33" s="248"/>
      <c r="H33" s="248"/>
      <c r="I33" s="245" t="s">
        <v>13</v>
      </c>
      <c r="J33" s="246"/>
      <c r="K33" s="247"/>
      <c r="L33" s="56"/>
      <c r="M33" s="255" t="s">
        <v>6</v>
      </c>
      <c r="N33" s="256"/>
      <c r="O33" s="256"/>
      <c r="P33" s="257"/>
      <c r="Q33" s="1"/>
      <c r="U33" s="15"/>
      <c r="V33" s="15"/>
      <c r="W33" s="15"/>
    </row>
    <row r="34" spans="1:23" s="14" customFormat="1" ht="17.100000000000001" customHeight="1">
      <c r="A34" s="234"/>
      <c r="B34" s="234"/>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-2137.9</v>
      </c>
      <c r="C35" s="197"/>
      <c r="D35" s="46"/>
      <c r="E35" s="46"/>
      <c r="F35" s="36">
        <f t="shared" ref="F35:H38" si="0">$U24*C35/1000</f>
        <v>0</v>
      </c>
      <c r="G35" s="36">
        <f t="shared" si="0"/>
        <v>0</v>
      </c>
      <c r="H35" s="36">
        <f t="shared" si="0"/>
        <v>0</v>
      </c>
      <c r="I35" s="32">
        <f>$B35/1000*C35</f>
        <v>0</v>
      </c>
      <c r="J35" s="35">
        <f>$B35/1000*D35</f>
        <v>0</v>
      </c>
      <c r="K35" s="35">
        <f>$B35/1000*E35</f>
        <v>0</v>
      </c>
      <c r="L35" s="32"/>
      <c r="M35" s="32">
        <f t="shared" ref="M35:O38" si="1">IF(I35=0,0,I35/(I$39+I$38)*100)</f>
        <v>0</v>
      </c>
      <c r="N35" s="32">
        <f t="shared" si="1"/>
        <v>0</v>
      </c>
      <c r="O35" s="31">
        <f t="shared" si="1"/>
        <v>0</v>
      </c>
      <c r="P35" s="45"/>
      <c r="Q35" s="1"/>
    </row>
    <row r="36" spans="1:23" s="14" customFormat="1" ht="17.100000000000001" customHeight="1">
      <c r="A36" s="44" t="str">
        <f>R25&amp;"hr PLS"</f>
        <v>8hr PLS</v>
      </c>
      <c r="B36" s="43">
        <f>M25-$M$18-$B$39</f>
        <v>-2137.9</v>
      </c>
      <c r="C36" s="41"/>
      <c r="D36" s="42"/>
      <c r="E36" s="42"/>
      <c r="F36" s="36">
        <f t="shared" si="0"/>
        <v>0</v>
      </c>
      <c r="G36" s="36">
        <f t="shared" si="0"/>
        <v>0</v>
      </c>
      <c r="H36" s="36">
        <f t="shared" si="0"/>
        <v>0</v>
      </c>
      <c r="I36" s="32">
        <f>($B36/1000*C36)+SUM(F$35)</f>
        <v>0</v>
      </c>
      <c r="J36" s="35">
        <f t="shared" ref="J36:J39" si="2">$B36/1000*D36</f>
        <v>0</v>
      </c>
      <c r="K36" s="42"/>
      <c r="L36" s="41"/>
      <c r="M36" s="32">
        <f t="shared" si="1"/>
        <v>0</v>
      </c>
      <c r="N36" s="32">
        <f t="shared" si="1"/>
        <v>0</v>
      </c>
      <c r="O36" s="31">
        <f t="shared" si="1"/>
        <v>0</v>
      </c>
      <c r="P36" s="40"/>
      <c r="Q36" s="1"/>
    </row>
    <row r="37" spans="1:23" s="14" customFormat="1" ht="17.100000000000001" customHeight="1">
      <c r="A37" s="44" t="str">
        <f>R26&amp;"hr PLS"</f>
        <v>24hr PLS</v>
      </c>
      <c r="B37" s="43">
        <f>M26-$M$18-$B$39</f>
        <v>-2137.9</v>
      </c>
      <c r="C37" s="41"/>
      <c r="D37" s="42"/>
      <c r="E37" s="42"/>
      <c r="F37" s="36">
        <f t="shared" si="0"/>
        <v>0</v>
      </c>
      <c r="G37" s="36">
        <f t="shared" si="0"/>
        <v>0</v>
      </c>
      <c r="H37" s="36">
        <f t="shared" si="0"/>
        <v>0</v>
      </c>
      <c r="I37" s="32">
        <f>($B37/1000*C37)+SUM(F$35:F36)</f>
        <v>0</v>
      </c>
      <c r="J37" s="35">
        <f t="shared" si="2"/>
        <v>0</v>
      </c>
      <c r="K37" s="42"/>
      <c r="L37" s="41"/>
      <c r="M37" s="32">
        <f t="shared" si="1"/>
        <v>0</v>
      </c>
      <c r="N37" s="32">
        <f t="shared" si="1"/>
        <v>0</v>
      </c>
      <c r="O37" s="31">
        <f t="shared" si="1"/>
        <v>0</v>
      </c>
      <c r="P37" s="40"/>
      <c r="Q37" s="1"/>
    </row>
    <row r="38" spans="1:23" s="14" customFormat="1" ht="17.100000000000001" customHeight="1">
      <c r="A38" s="39" t="str">
        <f>R27&amp;"hr PLS"</f>
        <v>48hr PLS</v>
      </c>
      <c r="B38" s="38">
        <f>M27-$M$18-$B$39</f>
        <v>-2137.9</v>
      </c>
      <c r="C38" s="198"/>
      <c r="D38" s="37"/>
      <c r="E38" s="37"/>
      <c r="F38" s="36">
        <f t="shared" si="0"/>
        <v>0</v>
      </c>
      <c r="G38" s="36">
        <f t="shared" si="0"/>
        <v>0</v>
      </c>
      <c r="H38" s="36">
        <f t="shared" si="0"/>
        <v>0</v>
      </c>
      <c r="I38" s="201">
        <f>($B38/1000*C38)+SUM(F$35:F37)</f>
        <v>0</v>
      </c>
      <c r="J38" s="200">
        <f t="shared" si="2"/>
        <v>0</v>
      </c>
      <c r="K38" s="34"/>
      <c r="L38" s="33"/>
      <c r="M38" s="32">
        <f t="shared" si="1"/>
        <v>0</v>
      </c>
      <c r="N38" s="32">
        <f t="shared" si="1"/>
        <v>0</v>
      </c>
      <c r="O38" s="31">
        <f t="shared" si="1"/>
        <v>0</v>
      </c>
      <c r="P38" s="30"/>
      <c r="Q38" s="1"/>
      <c r="U38" s="29"/>
      <c r="V38" s="29"/>
      <c r="W38" s="29"/>
    </row>
    <row r="39" spans="1:23" s="14" customFormat="1" ht="17.100000000000001" customHeight="1" thickBot="1">
      <c r="A39" s="28" t="s">
        <v>12</v>
      </c>
      <c r="B39" s="27">
        <v>1125.9000000000001</v>
      </c>
      <c r="C39" s="199"/>
      <c r="D39" s="24"/>
      <c r="E39" s="24"/>
      <c r="F39" s="26"/>
      <c r="G39" s="26"/>
      <c r="H39" s="25"/>
      <c r="I39" s="24">
        <f>($B39/1000*C39)+SUM(F$35:F38)</f>
        <v>0</v>
      </c>
      <c r="J39" s="24">
        <f t="shared" si="2"/>
        <v>0</v>
      </c>
      <c r="K39" s="24"/>
      <c r="L39" s="24"/>
      <c r="M39" s="24">
        <f>IF(I39=0,0,I39/(I$39+I$38)%)</f>
        <v>0</v>
      </c>
      <c r="N39" s="23">
        <f>IF(J39=0,0,J39/(J$39+J$38)%)</f>
        <v>0</v>
      </c>
      <c r="O39" s="22">
        <f>IF(K39=0,0,K39/(K$39+K$38)%)</f>
        <v>0</v>
      </c>
      <c r="P39" s="21"/>
      <c r="Q39" s="1"/>
      <c r="U39" s="15"/>
    </row>
    <row r="40" spans="1:23" s="14" customFormat="1" ht="17.100000000000001" customHeight="1">
      <c r="A40" s="20" t="s">
        <v>11</v>
      </c>
      <c r="B40" s="12">
        <f>B39</f>
        <v>1125.9000000000001</v>
      </c>
      <c r="C40" s="196">
        <f>IF($B40=0,0,(I39+I38)/($B40/1000))</f>
        <v>0</v>
      </c>
      <c r="D40" s="11">
        <f>IF($B40=0,0,(J39+J38)/($B40/1000))</f>
        <v>0</v>
      </c>
      <c r="E40" s="19">
        <f>IF($B40=0,0,K40/($B40/1000))</f>
        <v>0</v>
      </c>
      <c r="F40" s="18"/>
      <c r="G40" s="18"/>
      <c r="H40" s="18"/>
      <c r="I40" s="17"/>
      <c r="J40" s="17"/>
      <c r="K40" s="17"/>
      <c r="L40" s="16"/>
      <c r="M40" s="16"/>
      <c r="N40" s="16"/>
      <c r="O40" s="16"/>
      <c r="P40" s="1"/>
      <c r="Q40" s="1"/>
      <c r="U40" s="15"/>
    </row>
    <row r="41" spans="1:23" ht="17.100000000000001" customHeight="1">
      <c r="A41" s="13" t="s">
        <v>10</v>
      </c>
      <c r="B41" s="12"/>
      <c r="C41" s="11">
        <v>0.47</v>
      </c>
      <c r="D41" s="11">
        <v>0.4</v>
      </c>
      <c r="E41" s="11"/>
      <c r="F41" s="10"/>
      <c r="G41" s="7"/>
      <c r="H41" s="7"/>
      <c r="I41" s="7"/>
      <c r="J41" s="7"/>
      <c r="K41" s="7"/>
      <c r="L41" s="7"/>
      <c r="M41" s="9"/>
      <c r="N41" s="8"/>
      <c r="O41" s="7"/>
    </row>
    <row r="42" spans="1:23" ht="17.100000000000001" customHeight="1">
      <c r="A42" s="7"/>
      <c r="B42" s="7"/>
      <c r="C42" s="7"/>
      <c r="D42" s="7"/>
      <c r="E42" s="7"/>
    </row>
    <row r="44" spans="1:23">
      <c r="A44" s="1" t="s">
        <v>9</v>
      </c>
      <c r="E44" s="238" t="s">
        <v>8</v>
      </c>
      <c r="F44" s="238"/>
      <c r="G44" s="238" t="s">
        <v>7</v>
      </c>
      <c r="H44" s="238"/>
      <c r="I44" s="238" t="s">
        <v>6</v>
      </c>
      <c r="J44" s="238"/>
      <c r="K44" s="238"/>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CN-3</v>
      </c>
      <c r="B46" s="1" t="str">
        <f>B3</f>
        <v>GR-3(BS-3A13-01) Gravity Tails</v>
      </c>
      <c r="C46" s="1">
        <f>C18</f>
        <v>67</v>
      </c>
      <c r="D46" s="4">
        <f>R27</f>
        <v>48</v>
      </c>
      <c r="E46" s="3">
        <f>D30</f>
        <v>0</v>
      </c>
      <c r="F46" s="3">
        <f>E30</f>
        <v>0</v>
      </c>
      <c r="G46" s="3">
        <f>H30</f>
        <v>0</v>
      </c>
      <c r="H46" s="3">
        <f>I30</f>
        <v>0</v>
      </c>
      <c r="I46" s="2">
        <f>M38</f>
        <v>0</v>
      </c>
      <c r="J46" s="2">
        <f>N38</f>
        <v>0</v>
      </c>
      <c r="K46" s="2">
        <f>O38</f>
        <v>0</v>
      </c>
    </row>
  </sheetData>
  <mergeCells count="43">
    <mergeCell ref="E44:F44"/>
    <mergeCell ref="G44:H44"/>
    <mergeCell ref="I44:K44"/>
    <mergeCell ref="A33:A34"/>
    <mergeCell ref="B33:B34"/>
    <mergeCell ref="C33:E33"/>
    <mergeCell ref="F33:H33"/>
    <mergeCell ref="I33:K33"/>
    <mergeCell ref="M33:P33"/>
    <mergeCell ref="S20:S22"/>
    <mergeCell ref="T20:T22"/>
    <mergeCell ref="U20:U22"/>
    <mergeCell ref="B21:C21"/>
    <mergeCell ref="D21:E21"/>
    <mergeCell ref="F21:F22"/>
    <mergeCell ref="G21:G22"/>
    <mergeCell ref="H21:H22"/>
    <mergeCell ref="I21:I22"/>
    <mergeCell ref="N21:N22"/>
    <mergeCell ref="L20:L22"/>
    <mergeCell ref="M20:M22"/>
    <mergeCell ref="N20:O20"/>
    <mergeCell ref="P20:P22"/>
    <mergeCell ref="Q20:Q22"/>
    <mergeCell ref="R20:R22"/>
    <mergeCell ref="A20:A22"/>
    <mergeCell ref="B20:E20"/>
    <mergeCell ref="F20:G20"/>
    <mergeCell ref="H20:I20"/>
    <mergeCell ref="J20:J22"/>
    <mergeCell ref="K20:K22"/>
    <mergeCell ref="K18:L18"/>
    <mergeCell ref="B1:C1"/>
    <mergeCell ref="G1:H1"/>
    <mergeCell ref="N1:O1"/>
    <mergeCell ref="B5:O5"/>
    <mergeCell ref="B7:O7"/>
    <mergeCell ref="A9:B9"/>
    <mergeCell ref="A10:B10"/>
    <mergeCell ref="A11:B11"/>
    <mergeCell ref="A12:B12"/>
    <mergeCell ref="A15:B15"/>
    <mergeCell ref="K17:L17"/>
  </mergeCells>
  <conditionalFormatting sqref="C40:E40">
    <cfRule type="expression" dxfId="18" priority="18" stopIfTrue="1">
      <formula>ISBLANK(C$34)=TRUE</formula>
    </cfRule>
    <cfRule type="cellIs" dxfId="17" priority="19" stopIfTrue="1" operator="equal">
      <formula>""</formula>
    </cfRule>
  </conditionalFormatting>
  <conditionalFormatting sqref="F35:H38">
    <cfRule type="expression" dxfId="16" priority="17" stopIfTrue="1">
      <formula>ISBLANK(C$34)=TRUE</formula>
    </cfRule>
  </conditionalFormatting>
  <conditionalFormatting sqref="I35:K39">
    <cfRule type="expression" dxfId="15" priority="16" stopIfTrue="1">
      <formula>ISBLANK(C$34)=TRUE</formula>
    </cfRule>
  </conditionalFormatting>
  <conditionalFormatting sqref="M35:O39">
    <cfRule type="expression" dxfId="14" priority="15" stopIfTrue="1">
      <formula>ISBLANK(C$34)=TRUE</formula>
    </cfRule>
  </conditionalFormatting>
  <conditionalFormatting sqref="M17:M18 C18 N1:O1 B39 K24:K25 J23:J25 M27:P27 B24:C27 J26:K27 M24:O26">
    <cfRule type="cellIs" dxfId="13" priority="14" stopIfTrue="1" operator="equal">
      <formula>""</formula>
    </cfRule>
  </conditionalFormatting>
  <conditionalFormatting sqref="H17:H18 C17 B7:O7 B5:O5 B3 B1:C1 G1:H1 C9:C10 R24:R27 I10:I11">
    <cfRule type="cellIs" dxfId="12" priority="13" stopIfTrue="1" operator="equal">
      <formula>""</formula>
    </cfRule>
  </conditionalFormatting>
  <conditionalFormatting sqref="G31 I31">
    <cfRule type="cellIs" dxfId="11" priority="12" stopIfTrue="1" operator="lessThan">
      <formula>0</formula>
    </cfRule>
  </conditionalFormatting>
  <conditionalFormatting sqref="C12">
    <cfRule type="expression" dxfId="10" priority="11" stopIfTrue="1">
      <formula>ISERROR($C$11)</formula>
    </cfRule>
  </conditionalFormatting>
  <conditionalFormatting sqref="I45 I34 F34 M34">
    <cfRule type="expression" dxfId="9" priority="10" stopIfTrue="1">
      <formula>ISBLANK($C$34)=TRUE</formula>
    </cfRule>
  </conditionalFormatting>
  <conditionalFormatting sqref="J45 G34 J34 N34">
    <cfRule type="expression" dxfId="8" priority="9" stopIfTrue="1">
      <formula>ISBLANK($D$34)=TRUE</formula>
    </cfRule>
  </conditionalFormatting>
  <conditionalFormatting sqref="K45 H34 K34 O34">
    <cfRule type="expression" dxfId="7" priority="8" stopIfTrue="1">
      <formula>ISBLANK($E$34)=TRUE</formula>
    </cfRule>
  </conditionalFormatting>
  <conditionalFormatting sqref="L15:M15">
    <cfRule type="expression" dxfId="6" priority="7" stopIfTrue="1">
      <formula>"$C$15&lt;=0"</formula>
    </cfRule>
  </conditionalFormatting>
  <conditionalFormatting sqref="C15">
    <cfRule type="expression" dxfId="5" priority="6" stopIfTrue="1">
      <formula>ISBLANK($C$15)</formula>
    </cfRule>
  </conditionalFormatting>
  <conditionalFormatting sqref="D15 F15 H15 J15">
    <cfRule type="expression" dxfId="4" priority="5" stopIfTrue="1">
      <formula>NOT(OR((AND(ISNUMBER($C$15),$C$15&gt;0)),(ISBLANK($C$15))))</formula>
    </cfRule>
  </conditionalFormatting>
  <conditionalFormatting sqref="E15 G15 I15">
    <cfRule type="expression" dxfId="3" priority="4" stopIfTrue="1">
      <formula>AND((AND(ISNUMBER($C$15),$C$15&gt;0)),ISBLANK(E15))</formula>
    </cfRule>
  </conditionalFormatting>
  <conditionalFormatting sqref="C35:E39">
    <cfRule type="expression" dxfId="2" priority="2" stopIfTrue="1">
      <formula>ISBLANK(C$34)=TRUE</formula>
    </cfRule>
    <cfRule type="cellIs" dxfId="1" priority="3" stopIfTrue="1" operator="equal">
      <formula>""</formula>
    </cfRule>
  </conditionalFormatting>
  <conditionalFormatting sqref="B3">
    <cfRule type="cellIs" dxfId="0" priority="1"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Results</vt:lpstr>
      <vt:lpstr>Overall</vt:lpstr>
      <vt:lpstr>CN-1</vt:lpstr>
      <vt:lpstr>CN-2</vt:lpstr>
      <vt:lpstr>CN-3</vt:lpstr>
      <vt:lpstr>'CN-1'!Print_Area</vt:lpstr>
      <vt:lpstr>'CN-2'!Print_Area</vt:lpstr>
      <vt:lpstr>'CN-3'!Print_Area</vt:lpstr>
    </vt:vector>
  </TitlesOfParts>
  <Company>SGS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alexandria_hall</dc:creator>
  <cp:lastModifiedBy>jalal_tajadod</cp:lastModifiedBy>
  <dcterms:created xsi:type="dcterms:W3CDTF">2014-09-15T16:44:50Z</dcterms:created>
  <dcterms:modified xsi:type="dcterms:W3CDTF">2014-10-28T22:50:11Z</dcterms:modified>
</cp:coreProperties>
</file>