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alsh\Desktop\WOLF YMEP Report\Drafts\Appendicies\Appendix IV - Cost Summary\"/>
    </mc:Choice>
  </mc:AlternateContent>
  <xr:revisionPtr revIDLastSave="0" documentId="13_ncr:1_{BDE6D5B7-2903-40CF-A0CD-C25BC43CCD42}" xr6:coauthVersionLast="47" xr6:coauthVersionMax="47" xr10:uidLastSave="{00000000-0000-0000-0000-000000000000}"/>
  <bookViews>
    <workbookView xWindow="-120" yWindow="-120" windowWidth="29040" windowHeight="15840" xr2:uid="{D21AD925-4100-40AD-BFF9-2C2CAC635A5E}"/>
  </bookViews>
  <sheets>
    <sheet name="TOO Cost statement" sheetId="2" r:id="rId1"/>
    <sheet name="Sheet1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" l="1"/>
  <c r="H46" i="2"/>
  <c r="I40" i="2" l="1"/>
  <c r="I46" i="2"/>
  <c r="I29" i="2"/>
  <c r="I20" i="2"/>
  <c r="I64" i="2"/>
  <c r="H45" i="2"/>
  <c r="I45" i="2" s="1"/>
  <c r="H16" i="2"/>
  <c r="I16" i="2" s="1"/>
  <c r="I19" i="2"/>
  <c r="I15" i="2"/>
  <c r="I12" i="2"/>
  <c r="I17" i="2"/>
  <c r="I9" i="2"/>
  <c r="I8" i="2"/>
  <c r="C65" i="2"/>
  <c r="C64" i="2"/>
  <c r="C61" i="2"/>
  <c r="I49" i="2"/>
  <c r="H44" i="2"/>
  <c r="I44" i="2" s="1"/>
  <c r="I39" i="2" l="1"/>
  <c r="H52" i="2"/>
  <c r="H50" i="2"/>
  <c r="H49" i="2"/>
  <c r="H40" i="2"/>
  <c r="H39" i="2"/>
  <c r="G32" i="2"/>
  <c r="H28" i="2"/>
  <c r="I28" i="2" s="1"/>
  <c r="H27" i="2"/>
  <c r="I27" i="2" s="1"/>
  <c r="H23" i="2"/>
  <c r="I23" i="2" s="1"/>
  <c r="H18" i="2"/>
  <c r="I18" i="2" s="1"/>
  <c r="H17" i="2"/>
  <c r="H15" i="2"/>
  <c r="H10" i="2"/>
  <c r="I10" i="2" s="1"/>
  <c r="H13" i="2"/>
  <c r="I13" i="2" s="1"/>
  <c r="H12" i="2"/>
  <c r="H11" i="2"/>
  <c r="I11" i="2" s="1"/>
  <c r="I52" i="2" l="1"/>
  <c r="I41" i="2" l="1"/>
  <c r="I33" i="2"/>
  <c r="I62" i="2" l="1"/>
  <c r="I54" i="2"/>
  <c r="I60" i="2"/>
  <c r="I63" i="2" l="1"/>
  <c r="I24" i="2"/>
  <c r="I58" i="2" s="1"/>
  <c r="C63" i="2"/>
  <c r="C62" i="2"/>
  <c r="C60" i="2"/>
  <c r="C59" i="2"/>
  <c r="C58" i="2"/>
  <c r="C57" i="2"/>
  <c r="H63" i="2"/>
  <c r="H24" i="2"/>
  <c r="H58" i="2" s="1"/>
  <c r="H32" i="2"/>
  <c r="H14" i="2"/>
  <c r="I14" i="2" s="1"/>
  <c r="G51" i="2"/>
  <c r="H51" i="2" s="1"/>
  <c r="H64" i="2" s="1"/>
  <c r="G50" i="2"/>
  <c r="H33" i="2" l="1"/>
  <c r="H60" i="2" s="1"/>
  <c r="I59" i="2"/>
  <c r="H41" i="2"/>
  <c r="H62" i="2" s="1"/>
  <c r="H29" i="2"/>
  <c r="H59" i="2" s="1"/>
  <c r="G53" i="2"/>
  <c r="H20" i="2"/>
  <c r="H57" i="2" s="1"/>
  <c r="H53" i="2"/>
  <c r="H54" i="2" l="1"/>
  <c r="H34" i="2"/>
  <c r="H61" i="2" s="1"/>
  <c r="H66" i="2" s="1"/>
  <c r="I53" i="2" l="1"/>
  <c r="I65" i="2" l="1"/>
  <c r="I66" i="2" s="1"/>
  <c r="G41" i="2"/>
  <c r="G54" i="2" s="1"/>
  <c r="G33" i="2" l="1"/>
  <c r="I57" i="2" l="1"/>
  <c r="I34" i="2"/>
  <c r="I61" i="2" s="1"/>
</calcChain>
</file>

<file path=xl/sharedStrings.xml><?xml version="1.0" encoding="utf-8"?>
<sst xmlns="http://schemas.openxmlformats.org/spreadsheetml/2006/main" count="197" uniqueCount="112">
  <si>
    <t>White Gold Corp</t>
  </si>
  <si>
    <t>1.0: RAB Drilling - Groundtruth Drilling, GroundTruth Exploration, Bureau Veritas, Great Slave Helicopters</t>
  </si>
  <si>
    <t>Item</t>
  </si>
  <si>
    <t>Service Provider</t>
  </si>
  <si>
    <t>Description</t>
  </si>
  <si>
    <t>YMEP Rate</t>
  </si>
  <si>
    <t>PropertyAmount</t>
  </si>
  <si>
    <t>YMEP Eligeable Expenses</t>
  </si>
  <si>
    <t>Invoice #</t>
  </si>
  <si>
    <t>1.1: RAB Drilling Production</t>
  </si>
  <si>
    <t>Drill Production</t>
  </si>
  <si>
    <t>Groundtruth Drilling</t>
  </si>
  <si>
    <t>INV 1148</t>
  </si>
  <si>
    <t>Meterage Rate</t>
  </si>
  <si>
    <t>Consumables</t>
  </si>
  <si>
    <t>INV 1148, INV11094</t>
  </si>
  <si>
    <t>Drillcore sampling</t>
  </si>
  <si>
    <t xml:space="preserve">24 hours at 80$/hr </t>
  </si>
  <si>
    <t>Field Portable XRF</t>
  </si>
  <si>
    <t>Groundtruth Exploration</t>
  </si>
  <si>
    <t>110/day</t>
  </si>
  <si>
    <t>INV11055R</t>
  </si>
  <si>
    <t>Optical Televiewer</t>
  </si>
  <si>
    <t>Drill Geologist</t>
  </si>
  <si>
    <t>Drill moves Setup/Teardown of rig</t>
  </si>
  <si>
    <t>Total RAB Drilling Production</t>
  </si>
  <si>
    <t>1.2: Assays  and Shipping</t>
  </si>
  <si>
    <t>Assay costs - RAB Drilling</t>
  </si>
  <si>
    <t xml:space="preserve">Bureau Veritas </t>
  </si>
  <si>
    <t>VANI474208, VANI475010, VANI474563, VANI474209</t>
  </si>
  <si>
    <t>Total Assays and Shipping</t>
  </si>
  <si>
    <t>1.3: Helicopter, Transport, fuel</t>
  </si>
  <si>
    <t>Helicopter time</t>
  </si>
  <si>
    <t>Great Slave Helicopters</t>
  </si>
  <si>
    <t>Air travel within Yukon - 100%</t>
  </si>
  <si>
    <t>Fuel</t>
  </si>
  <si>
    <t>AFD Petroleum Limited</t>
  </si>
  <si>
    <t>Total Helicopter and Transport for RAB Drilling</t>
  </si>
  <si>
    <t>Total Invoiced to WGO across all programs</t>
  </si>
  <si>
    <t>1.4: Crew Travel</t>
  </si>
  <si>
    <t>Crew Travel</t>
  </si>
  <si>
    <t>0%? Outside of yukon</t>
  </si>
  <si>
    <t>INV 1148, INV1152</t>
  </si>
  <si>
    <t>Total RAB Drill Crew Travel to Whitehorse</t>
  </si>
  <si>
    <t>1.0: RAB Drilling - Total</t>
  </si>
  <si>
    <t>2.1: Pad Building Labour</t>
  </si>
  <si>
    <t>Employee man-days</t>
  </si>
  <si>
    <t>Minconsult Exploration Services</t>
  </si>
  <si>
    <t>10-23Jun2023WG</t>
  </si>
  <si>
    <t>Equipment Rental</t>
  </si>
  <si>
    <t>2x Fly Basket and tools - $225/day per basket, 14 days</t>
  </si>
  <si>
    <t>Total Pad Building Labour</t>
  </si>
  <si>
    <t>2.2: Helicopter</t>
  </si>
  <si>
    <t>Amount</t>
  </si>
  <si>
    <t>Total Helicopter support for Pad Building</t>
  </si>
  <si>
    <t>2.3: Crew Travel/Mobilization</t>
  </si>
  <si>
    <t xml:space="preserve">Vehicle Km's </t>
  </si>
  <si>
    <t>Contractor Work Vehicle Mobilization to site - 335Km's at $0.62/day</t>
  </si>
  <si>
    <t>$0.6/km</t>
  </si>
  <si>
    <t>Travel and Lodging</t>
  </si>
  <si>
    <t>-</t>
  </si>
  <si>
    <t>Tintina Flight to Thistle Camp</t>
  </si>
  <si>
    <t>Total Mobilization/Travel for Pad Building Crew</t>
  </si>
  <si>
    <t>2.0:Pad Building - Total</t>
  </si>
  <si>
    <t>2023 Toonie Expenditure Summary</t>
  </si>
  <si>
    <t>TOO Project Total with Tax</t>
  </si>
  <si>
    <t>YMEP Eligible Expenses</t>
  </si>
  <si>
    <t>Total 2023 Toonie Expenditure</t>
  </si>
  <si>
    <t>YMEP Claim Amount</t>
  </si>
  <si>
    <t>PROJECT: WLF - WOLF</t>
  </si>
  <si>
    <t>Service Providers: Groundtruth Exploration, Groundtruth Drilling, WGO, Great Slave Helicopters, Minconsult Exploration Services, BV Labs Vancouver, Tintina Air</t>
  </si>
  <si>
    <t>WLF 2023 Project Costs</t>
  </si>
  <si>
    <t>Cessna 206 Charter</t>
  </si>
  <si>
    <t>Tintina Air</t>
  </si>
  <si>
    <t>Fly in fishing tool for OTV retrieval</t>
  </si>
  <si>
    <t>Rig Rate charged per day 8.8 days at 3500/day</t>
  </si>
  <si>
    <t>Weather Rate</t>
  </si>
  <si>
    <t>1 day charged at $2625/day.</t>
  </si>
  <si>
    <t>Timeline: July 2nd - July 13th, 2023</t>
  </si>
  <si>
    <t>Consumables: Drill bits, Drill fuel</t>
  </si>
  <si>
    <t>Sampling Technician</t>
  </si>
  <si>
    <t>10.75 day units at $600/day</t>
  </si>
  <si>
    <t>Technician - $350/day</t>
  </si>
  <si>
    <t>Mobilization</t>
  </si>
  <si>
    <t>300.3m at $5/meter</t>
  </si>
  <si>
    <t>300.3m at $30/meter</t>
  </si>
  <si>
    <t>9 days at $350/day</t>
  </si>
  <si>
    <t>9 days at $450/day</t>
  </si>
  <si>
    <t>Drillcore logging, XRF data production.  10.75 days at $850</t>
  </si>
  <si>
    <t xml:space="preserve">Per worker rate per hour when on project -  36 hours at 80$/hr </t>
  </si>
  <si>
    <t>Lab assay expenses: 34+60+49+64 at $54.31/sample</t>
  </si>
  <si>
    <t>IN010079, IN010142,IN010024, IN009901</t>
  </si>
  <si>
    <t>Bulk fuel purchase on invoice_SI00023845 on June 06th, 2023($1.2274/L) was used to estimate fuel cost for the entire drilling program at an average burn rate of 1.25 barrels/hr or 200 L/hr and a total of 39.04 hours of flight time</t>
  </si>
  <si>
    <t>Sales invoice_SI00023845</t>
  </si>
  <si>
    <t>Travel for crew to Whitehorse and back 50% of total costs applied to WLF</t>
  </si>
  <si>
    <t>Transportation drill crew from Thistle Camp to WLF property, drill support, and drill moves. 39.04 hours at $1875/hour</t>
  </si>
  <si>
    <r>
      <rPr>
        <b/>
        <sz val="14"/>
        <rFont val="Calibri"/>
        <family val="2"/>
        <scheme val="minor"/>
      </rPr>
      <t>1.0: RAB Drilling</t>
    </r>
    <r>
      <rPr>
        <b/>
        <sz val="12"/>
        <rFont val="Calibri"/>
        <family val="2"/>
        <scheme val="minor"/>
      </rPr>
      <t xml:space="preserve"> - Groundtruth Drilling, GroundTruth Exploration, Bureau Veritas, Great Slave Helicopters, Tintina Air</t>
    </r>
  </si>
  <si>
    <t>$300/day (10% of 74 man-days)</t>
  </si>
  <si>
    <t>Pad building labour -  10% of total invoiced hourly expenditures of 89,392.5 applied to WLF</t>
  </si>
  <si>
    <t>$100/day (as per Daily field expenses)</t>
  </si>
  <si>
    <t>Setouts and Pickups</t>
  </si>
  <si>
    <t>IN009799, IN009901</t>
  </si>
  <si>
    <t>Flight time= 2.85hrs at $1875/hr</t>
  </si>
  <si>
    <t>Hotel expenses by contractor for travel to Whitehorse</t>
  </si>
  <si>
    <t>Employee travel per diem</t>
  </si>
  <si>
    <t>20 day units at $75/day</t>
  </si>
  <si>
    <t>Supervan charter Whitehorse-Thistle-Whitehorse - 50% applied to WLF</t>
  </si>
  <si>
    <t>2023 Wolf Expenditure Summary</t>
  </si>
  <si>
    <t>WLF Project Total</t>
  </si>
  <si>
    <r>
      <rPr>
        <b/>
        <sz val="14"/>
        <rFont val="Calibri"/>
        <family val="2"/>
        <scheme val="minor"/>
      </rPr>
      <t>2.0 Pad Building</t>
    </r>
    <r>
      <rPr>
        <b/>
        <sz val="12"/>
        <rFont val="Calibri"/>
        <family val="2"/>
        <scheme val="minor"/>
      </rPr>
      <t xml:space="preserve"> - Minconsult Exploration Services, Great Slave Helicopters.</t>
    </r>
  </si>
  <si>
    <t>Total 2023 Wolf Expenditure</t>
  </si>
  <si>
    <t>Bulk fuel purchase on invoice_SI00023845 on June 06th, 2023($1.2274/L) was used to estimate fuel cost for the entire drilling program at an average burn rate of 1.25 barrels/hr or 200 L/hr and a total of 2.85 hours of flight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</si>
</sst>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42" formatCode="_-&quot;$&quot;* #,##0_-;\-&quot;$&quot;* #,##0_-;_-&quot;$&quot;* &quot;-&quot;_-;_-@_-"/>
    <numFmt numFmtId="164" formatCode="\$#,##0.00"/>
    <numFmt numFmtId="165" formatCode="&quot;$ &quot;#,##0.00"/>
    <numFmt numFmtId="166" formatCode="&quot;$&quot;#,##0.00"/>
  </numFmts>
  <fonts count="2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8"/>
      <color rgb="FF7030A0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C0C0C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C0C0C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2" fillId="4" borderId="20" xfId="0" applyFont="1" applyFill="1" applyBorder="1" applyAlignment="1">
      <alignment horizontal="center" vertical="center" wrapText="1"/>
    </xf>
    <xf numFmtId="10" fontId="0" fillId="0" borderId="0" xfId="0" applyNumberFormat="1"/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10" borderId="15" xfId="0" applyFont="1" applyFill="1" applyBorder="1" applyAlignment="1">
      <alignment horizontal="center" wrapText="1"/>
    </xf>
    <xf numFmtId="0" fontId="5" fillId="0" borderId="24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/>
    </xf>
    <xf numFmtId="0" fontId="4" fillId="0" borderId="2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6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left" vertical="top" wrapText="1"/>
    </xf>
    <xf numFmtId="0" fontId="8" fillId="0" borderId="45" xfId="0" applyFont="1" applyBorder="1" applyAlignment="1">
      <alignment horizontal="center" vertical="top" wrapText="1"/>
    </xf>
    <xf numFmtId="164" fontId="8" fillId="0" borderId="12" xfId="0" applyNumberFormat="1" applyFont="1" applyBorder="1" applyAlignment="1">
      <alignment horizontal="left" vertical="top" wrapText="1"/>
    </xf>
    <xf numFmtId="164" fontId="8" fillId="0" borderId="12" xfId="0" applyNumberFormat="1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164" fontId="8" fillId="0" borderId="26" xfId="0" applyNumberFormat="1" applyFont="1" applyBorder="1" applyAlignment="1">
      <alignment horizontal="left" vertical="top" wrapText="1"/>
    </xf>
    <xf numFmtId="164" fontId="8" fillId="0" borderId="59" xfId="0" applyNumberFormat="1" applyFont="1" applyBorder="1" applyAlignment="1">
      <alignment horizontal="center" vertical="top" wrapText="1"/>
    </xf>
    <xf numFmtId="0" fontId="8" fillId="0" borderId="47" xfId="0" applyFont="1" applyBorder="1" applyAlignment="1">
      <alignment horizontal="center" vertical="top" wrapText="1"/>
    </xf>
    <xf numFmtId="165" fontId="4" fillId="11" borderId="18" xfId="0" applyNumberFormat="1" applyFont="1" applyFill="1" applyBorder="1" applyAlignment="1">
      <alignment horizontal="center" vertical="top" shrinkToFit="1"/>
    </xf>
    <xf numFmtId="165" fontId="4" fillId="11" borderId="51" xfId="0" applyNumberFormat="1" applyFont="1" applyFill="1" applyBorder="1" applyAlignment="1">
      <alignment horizontal="center" vertical="top" shrinkToFit="1"/>
    </xf>
    <xf numFmtId="165" fontId="4" fillId="11" borderId="24" xfId="0" applyNumberFormat="1" applyFont="1" applyFill="1" applyBorder="1" applyAlignment="1">
      <alignment horizontal="center" vertical="top" shrinkToFit="1"/>
    </xf>
    <xf numFmtId="0" fontId="7" fillId="2" borderId="41" xfId="0" applyFont="1" applyFill="1" applyBorder="1" applyAlignment="1">
      <alignment horizontal="center" vertical="center" wrapText="1"/>
    </xf>
    <xf numFmtId="165" fontId="9" fillId="0" borderId="22" xfId="0" applyNumberFormat="1" applyFont="1" applyBorder="1" applyAlignment="1">
      <alignment horizontal="left" vertical="center" shrinkToFit="1"/>
    </xf>
    <xf numFmtId="165" fontId="9" fillId="0" borderId="31" xfId="0" applyNumberFormat="1" applyFont="1" applyBorder="1" applyAlignment="1">
      <alignment horizontal="center" vertical="top" shrinkToFit="1"/>
    </xf>
    <xf numFmtId="1" fontId="8" fillId="0" borderId="23" xfId="0" applyNumberFormat="1" applyFont="1" applyBorder="1" applyAlignment="1">
      <alignment horizontal="center" vertical="center" wrapText="1"/>
    </xf>
    <xf numFmtId="165" fontId="4" fillId="11" borderId="22" xfId="0" applyNumberFormat="1" applyFont="1" applyFill="1" applyBorder="1" applyAlignment="1">
      <alignment horizontal="center" vertical="center" shrinkToFit="1"/>
    </xf>
    <xf numFmtId="165" fontId="4" fillId="11" borderId="31" xfId="0" applyNumberFormat="1" applyFont="1" applyFill="1" applyBorder="1" applyAlignment="1">
      <alignment horizontal="center" vertical="top" shrinkToFit="1"/>
    </xf>
    <xf numFmtId="0" fontId="8" fillId="10" borderId="23" xfId="0" applyFont="1" applyFill="1" applyBorder="1" applyAlignment="1">
      <alignment horizontal="center" vertical="center" wrapText="1"/>
    </xf>
    <xf numFmtId="165" fontId="9" fillId="0" borderId="44" xfId="0" applyNumberFormat="1" applyFont="1" applyBorder="1" applyAlignment="1">
      <alignment horizontal="left" vertical="center" shrinkToFit="1"/>
    </xf>
    <xf numFmtId="1" fontId="8" fillId="0" borderId="45" xfId="0" applyNumberFormat="1" applyFont="1" applyBorder="1" applyAlignment="1">
      <alignment horizontal="center" vertical="center" wrapText="1"/>
    </xf>
    <xf numFmtId="165" fontId="9" fillId="0" borderId="18" xfId="0" applyNumberFormat="1" applyFont="1" applyBorder="1" applyAlignment="1">
      <alignment horizontal="left" vertical="center" shrinkToFit="1"/>
    </xf>
    <xf numFmtId="1" fontId="8" fillId="0" borderId="19" xfId="0" applyNumberFormat="1" applyFont="1" applyBorder="1" applyAlignment="1">
      <alignment horizontal="center" vertical="center" wrapText="1"/>
    </xf>
    <xf numFmtId="165" fontId="9" fillId="10" borderId="22" xfId="0" applyNumberFormat="1" applyFont="1" applyFill="1" applyBorder="1" applyAlignment="1">
      <alignment horizontal="left" vertical="center" shrinkToFit="1"/>
    </xf>
    <xf numFmtId="165" fontId="4" fillId="10" borderId="22" xfId="0" applyNumberFormat="1" applyFont="1" applyFill="1" applyBorder="1" applyAlignment="1">
      <alignment horizontal="left" vertical="center" shrinkToFit="1"/>
    </xf>
    <xf numFmtId="165" fontId="4" fillId="10" borderId="31" xfId="0" applyNumberFormat="1" applyFont="1" applyFill="1" applyBorder="1" applyAlignment="1">
      <alignment horizontal="center" vertical="top" shrinkToFit="1"/>
    </xf>
    <xf numFmtId="1" fontId="8" fillId="10" borderId="23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top" wrapText="1"/>
    </xf>
    <xf numFmtId="165" fontId="4" fillId="5" borderId="20" xfId="0" applyNumberFormat="1" applyFont="1" applyFill="1" applyBorder="1" applyAlignment="1">
      <alignment horizontal="center" vertical="top" shrinkToFit="1"/>
    </xf>
    <xf numFmtId="165" fontId="4" fillId="5" borderId="33" xfId="0" applyNumberFormat="1" applyFont="1" applyFill="1" applyBorder="1" applyAlignment="1">
      <alignment horizontal="center" vertical="top" shrinkToFit="1"/>
    </xf>
    <xf numFmtId="165" fontId="1" fillId="0" borderId="0" xfId="0" applyNumberFormat="1" applyFont="1" applyAlignment="1">
      <alignment horizontal="center" vertical="top" shrinkToFit="1"/>
    </xf>
    <xf numFmtId="165" fontId="4" fillId="0" borderId="0" xfId="0" applyNumberFormat="1" applyFont="1" applyAlignment="1">
      <alignment horizontal="center" vertical="top" shrinkToFit="1"/>
    </xf>
    <xf numFmtId="165" fontId="9" fillId="0" borderId="44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wrapText="1"/>
    </xf>
    <xf numFmtId="165" fontId="9" fillId="0" borderId="26" xfId="0" applyNumberFormat="1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 wrapText="1"/>
    </xf>
    <xf numFmtId="165" fontId="4" fillId="11" borderId="18" xfId="0" applyNumberFormat="1" applyFont="1" applyFill="1" applyBorder="1" applyAlignment="1">
      <alignment horizontal="center" vertical="center" shrinkToFit="1"/>
    </xf>
    <xf numFmtId="0" fontId="8" fillId="10" borderId="19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top" wrapText="1"/>
    </xf>
    <xf numFmtId="165" fontId="9" fillId="0" borderId="22" xfId="0" applyNumberFormat="1" applyFont="1" applyBorder="1" applyAlignment="1">
      <alignment horizontal="center" vertical="center" shrinkToFit="1"/>
    </xf>
    <xf numFmtId="165" fontId="9" fillId="0" borderId="31" xfId="0" applyNumberFormat="1" applyFont="1" applyBorder="1" applyAlignment="1">
      <alignment horizontal="center" vertical="center" shrinkToFit="1"/>
    </xf>
    <xf numFmtId="165" fontId="9" fillId="0" borderId="12" xfId="0" applyNumberFormat="1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wrapText="1"/>
    </xf>
    <xf numFmtId="165" fontId="9" fillId="0" borderId="14" xfId="0" applyNumberFormat="1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wrapText="1"/>
    </xf>
    <xf numFmtId="165" fontId="9" fillId="11" borderId="53" xfId="0" applyNumberFormat="1" applyFont="1" applyFill="1" applyBorder="1" applyAlignment="1">
      <alignment horizontal="center" vertical="center" shrinkToFit="1"/>
    </xf>
    <xf numFmtId="165" fontId="4" fillId="11" borderId="53" xfId="0" applyNumberFormat="1" applyFont="1" applyFill="1" applyBorder="1" applyAlignment="1">
      <alignment horizontal="center" vertical="center" shrinkToFit="1"/>
    </xf>
    <xf numFmtId="165" fontId="4" fillId="11" borderId="53" xfId="0" applyNumberFormat="1" applyFont="1" applyFill="1" applyBorder="1" applyAlignment="1">
      <alignment horizontal="center" vertical="top" shrinkToFit="1"/>
    </xf>
    <xf numFmtId="0" fontId="8" fillId="0" borderId="52" xfId="0" applyFont="1" applyBorder="1" applyAlignment="1">
      <alignment horizontal="center" vertical="center" wrapText="1"/>
    </xf>
    <xf numFmtId="165" fontId="9" fillId="5" borderId="55" xfId="0" applyNumberFormat="1" applyFont="1" applyFill="1" applyBorder="1" applyAlignment="1">
      <alignment horizontal="center" vertical="center" shrinkToFit="1"/>
    </xf>
    <xf numFmtId="165" fontId="4" fillId="5" borderId="55" xfId="0" applyNumberFormat="1" applyFont="1" applyFill="1" applyBorder="1" applyAlignment="1">
      <alignment horizontal="center" vertical="center" shrinkToFit="1"/>
    </xf>
    <xf numFmtId="165" fontId="4" fillId="5" borderId="55" xfId="0" applyNumberFormat="1" applyFont="1" applyFill="1" applyBorder="1" applyAlignment="1">
      <alignment horizontal="center" vertical="top" shrinkToFit="1"/>
    </xf>
    <xf numFmtId="165" fontId="4" fillId="0" borderId="58" xfId="0" applyNumberFormat="1" applyFont="1" applyBorder="1" applyAlignment="1">
      <alignment horizontal="center" vertical="center" shrinkToFit="1"/>
    </xf>
    <xf numFmtId="4" fontId="9" fillId="0" borderId="35" xfId="0" applyNumberFormat="1" applyFont="1" applyBorder="1" applyAlignment="1">
      <alignment horizontal="center" vertical="center"/>
    </xf>
    <xf numFmtId="4" fontId="9" fillId="0" borderId="53" xfId="0" applyNumberFormat="1" applyFont="1" applyBorder="1" applyAlignment="1">
      <alignment horizontal="center" vertical="center" wrapText="1"/>
    </xf>
    <xf numFmtId="4" fontId="9" fillId="0" borderId="27" xfId="0" applyNumberFormat="1" applyFont="1" applyBorder="1" applyAlignment="1">
      <alignment horizontal="center" vertical="center"/>
    </xf>
    <xf numFmtId="4" fontId="9" fillId="0" borderId="54" xfId="0" applyNumberFormat="1" applyFont="1" applyBorder="1" applyAlignment="1">
      <alignment horizontal="center" vertical="center" wrapText="1"/>
    </xf>
    <xf numFmtId="4" fontId="9" fillId="0" borderId="56" xfId="0" applyNumberFormat="1" applyFont="1" applyBorder="1" applyAlignment="1">
      <alignment horizontal="center" vertical="center"/>
    </xf>
    <xf numFmtId="4" fontId="9" fillId="0" borderId="55" xfId="0" applyNumberFormat="1" applyFont="1" applyBorder="1" applyAlignment="1">
      <alignment horizontal="center" vertical="center" wrapText="1"/>
    </xf>
    <xf numFmtId="4" fontId="9" fillId="0" borderId="16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9" fillId="0" borderId="48" xfId="0" applyNumberFormat="1" applyFont="1" applyBorder="1" applyAlignment="1">
      <alignment horizontal="center" vertical="center" shrinkToFit="1"/>
    </xf>
    <xf numFmtId="165" fontId="9" fillId="0" borderId="51" xfId="0" applyNumberFormat="1" applyFont="1" applyBorder="1" applyAlignment="1">
      <alignment horizontal="center" vertical="center" shrinkToFit="1"/>
    </xf>
    <xf numFmtId="166" fontId="14" fillId="6" borderId="15" xfId="0" applyNumberFormat="1" applyFont="1" applyFill="1" applyBorder="1" applyAlignment="1">
      <alignment horizontal="center" vertical="center"/>
    </xf>
    <xf numFmtId="166" fontId="4" fillId="0" borderId="20" xfId="0" applyNumberFormat="1" applyFont="1" applyBorder="1" applyAlignment="1">
      <alignment horizontal="center" vertical="center"/>
    </xf>
    <xf numFmtId="166" fontId="13" fillId="0" borderId="10" xfId="0" applyNumberFormat="1" applyFont="1" applyBorder="1" applyAlignment="1">
      <alignment horizontal="center" vertical="center" wrapText="1"/>
    </xf>
    <xf numFmtId="166" fontId="13" fillId="0" borderId="15" xfId="0" applyNumberFormat="1" applyFont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8" fillId="6" borderId="41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top" wrapText="1"/>
    </xf>
    <xf numFmtId="0" fontId="8" fillId="0" borderId="44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7" fillId="11" borderId="30" xfId="0" applyFont="1" applyFill="1" applyBorder="1" applyAlignment="1">
      <alignment horizontal="center" vertical="top" wrapText="1"/>
    </xf>
    <xf numFmtId="0" fontId="7" fillId="2" borderId="39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top" wrapText="1"/>
    </xf>
    <xf numFmtId="0" fontId="8" fillId="0" borderId="4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8" fillId="0" borderId="22" xfId="0" applyFont="1" applyBorder="1" applyAlignment="1">
      <alignment horizontal="center" vertical="center" wrapText="1"/>
    </xf>
    <xf numFmtId="9" fontId="8" fillId="0" borderId="22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9" fontId="8" fillId="0" borderId="26" xfId="0" applyNumberFormat="1" applyFont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2" fillId="9" borderId="9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166" fontId="3" fillId="12" borderId="15" xfId="0" applyNumberFormat="1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/>
    </xf>
    <xf numFmtId="166" fontId="3" fillId="13" borderId="33" xfId="0" applyNumberFormat="1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wrapText="1"/>
    </xf>
    <xf numFmtId="0" fontId="20" fillId="0" borderId="36" xfId="0" applyFont="1" applyBorder="1" applyAlignment="1">
      <alignment horizontal="center"/>
    </xf>
    <xf numFmtId="166" fontId="20" fillId="0" borderId="53" xfId="0" applyNumberFormat="1" applyFont="1" applyBorder="1" applyAlignment="1">
      <alignment horizontal="center" vertical="center"/>
    </xf>
    <xf numFmtId="0" fontId="20" fillId="0" borderId="28" xfId="0" applyFont="1" applyBorder="1" applyAlignment="1">
      <alignment horizontal="center"/>
    </xf>
    <xf numFmtId="166" fontId="20" fillId="0" borderId="54" xfId="0" applyNumberFormat="1" applyFont="1" applyBorder="1" applyAlignment="1">
      <alignment horizontal="center" vertical="center"/>
    </xf>
    <xf numFmtId="0" fontId="20" fillId="0" borderId="60" xfId="0" applyFont="1" applyBorder="1" applyAlignment="1">
      <alignment horizontal="center"/>
    </xf>
    <xf numFmtId="166" fontId="20" fillId="0" borderId="57" xfId="0" applyNumberFormat="1" applyFont="1" applyBorder="1" applyAlignment="1">
      <alignment horizontal="center" vertical="center"/>
    </xf>
    <xf numFmtId="0" fontId="20" fillId="0" borderId="63" xfId="0" applyFont="1" applyBorder="1" applyAlignment="1">
      <alignment horizontal="center"/>
    </xf>
    <xf numFmtId="166" fontId="20" fillId="0" borderId="64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56" xfId="0" applyFont="1" applyBorder="1" applyAlignment="1">
      <alignment horizontal="center"/>
    </xf>
    <xf numFmtId="0" fontId="8" fillId="0" borderId="65" xfId="0" applyFont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164" fontId="8" fillId="0" borderId="14" xfId="0" applyNumberFormat="1" applyFont="1" applyBorder="1" applyAlignment="1">
      <alignment horizontal="left" vertical="top" wrapText="1"/>
    </xf>
    <xf numFmtId="0" fontId="8" fillId="0" borderId="61" xfId="0" applyFont="1" applyBorder="1" applyAlignment="1">
      <alignment horizontal="center" vertical="top" wrapText="1"/>
    </xf>
    <xf numFmtId="165" fontId="9" fillId="0" borderId="18" xfId="0" applyNumberFormat="1" applyFont="1" applyBorder="1" applyAlignment="1">
      <alignment horizontal="center" vertical="center" shrinkToFit="1"/>
    </xf>
    <xf numFmtId="164" fontId="8" fillId="0" borderId="44" xfId="0" applyNumberFormat="1" applyFont="1" applyBorder="1" applyAlignment="1">
      <alignment horizontal="center" vertical="top" wrapText="1"/>
    </xf>
    <xf numFmtId="164" fontId="8" fillId="0" borderId="14" xfId="0" applyNumberFormat="1" applyFont="1" applyBorder="1" applyAlignment="1">
      <alignment horizontal="center" vertical="top" wrapText="1"/>
    </xf>
    <xf numFmtId="164" fontId="8" fillId="0" borderId="26" xfId="0" applyNumberFormat="1" applyFont="1" applyBorder="1" applyAlignment="1">
      <alignment horizontal="center" vertical="top" wrapText="1"/>
    </xf>
    <xf numFmtId="9" fontId="8" fillId="0" borderId="18" xfId="0" applyNumberFormat="1" applyFont="1" applyBorder="1" applyAlignment="1">
      <alignment horizontal="center" vertical="center" wrapText="1"/>
    </xf>
    <xf numFmtId="9" fontId="8" fillId="0" borderId="44" xfId="0" applyNumberFormat="1" applyFont="1" applyBorder="1" applyAlignment="1">
      <alignment horizontal="center" vertical="top" wrapText="1"/>
    </xf>
    <xf numFmtId="9" fontId="8" fillId="0" borderId="12" xfId="0" applyNumberFormat="1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9" fontId="8" fillId="0" borderId="14" xfId="0" applyNumberFormat="1" applyFont="1" applyBorder="1" applyAlignment="1">
      <alignment horizontal="center" vertical="top" wrapText="1"/>
    </xf>
    <xf numFmtId="9" fontId="8" fillId="0" borderId="2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9" fontId="8" fillId="0" borderId="44" xfId="0" applyNumberFormat="1" applyFont="1" applyBorder="1" applyAlignment="1">
      <alignment horizontal="center" vertical="center" wrapText="1"/>
    </xf>
    <xf numFmtId="42" fontId="15" fillId="0" borderId="0" xfId="0" applyNumberFormat="1" applyFont="1" applyAlignment="1">
      <alignment horizontal="center" vertical="top"/>
    </xf>
    <xf numFmtId="166" fontId="21" fillId="6" borderId="33" xfId="0" applyNumberFormat="1" applyFont="1" applyFill="1" applyBorder="1" applyAlignment="1">
      <alignment horizontal="center" vertical="center"/>
    </xf>
    <xf numFmtId="6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top" wrapText="1"/>
    </xf>
    <xf numFmtId="0" fontId="7" fillId="11" borderId="7" xfId="0" applyFont="1" applyFill="1" applyBorder="1" applyAlignment="1">
      <alignment horizontal="center" vertical="top" wrapText="1"/>
    </xf>
    <xf numFmtId="0" fontId="7" fillId="11" borderId="30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30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10" borderId="20" xfId="0" applyFont="1" applyFill="1" applyBorder="1" applyAlignment="1">
      <alignment horizontal="center" vertical="center" wrapText="1"/>
    </xf>
    <xf numFmtId="0" fontId="7" fillId="10" borderId="24" xfId="0" applyFont="1" applyFill="1" applyBorder="1" applyAlignment="1">
      <alignment horizontal="center" vertical="center" wrapText="1"/>
    </xf>
    <xf numFmtId="0" fontId="7" fillId="10" borderId="21" xfId="0" applyFont="1" applyFill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top" wrapText="1"/>
    </xf>
    <xf numFmtId="0" fontId="7" fillId="8" borderId="20" xfId="0" applyFont="1" applyFill="1" applyBorder="1" applyAlignment="1">
      <alignment horizontal="center" vertical="center" wrapText="1"/>
    </xf>
    <xf numFmtId="0" fontId="7" fillId="8" borderId="24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7" fillId="5" borderId="24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7" fillId="9" borderId="20" xfId="0" applyFont="1" applyFill="1" applyBorder="1" applyAlignment="1">
      <alignment horizontal="center" vertical="center" wrapText="1"/>
    </xf>
    <xf numFmtId="0" fontId="17" fillId="9" borderId="24" xfId="0" applyFont="1" applyFill="1" applyBorder="1" applyAlignment="1">
      <alignment horizontal="center" vertical="center" wrapText="1"/>
    </xf>
    <xf numFmtId="0" fontId="17" fillId="9" borderId="25" xfId="0" applyFont="1" applyFill="1" applyBorder="1" applyAlignment="1">
      <alignment horizontal="center" vertical="center" wrapText="1"/>
    </xf>
    <xf numFmtId="166" fontId="18" fillId="12" borderId="24" xfId="0" applyNumberFormat="1" applyFont="1" applyFill="1" applyBorder="1" applyAlignment="1">
      <alignment horizontal="center"/>
    </xf>
    <xf numFmtId="166" fontId="18" fillId="12" borderId="25" xfId="0" applyNumberFormat="1" applyFont="1" applyFill="1" applyBorder="1" applyAlignment="1">
      <alignment horizontal="center"/>
    </xf>
    <xf numFmtId="0" fontId="3" fillId="8" borderId="39" xfId="0" applyFont="1" applyFill="1" applyBorder="1" applyAlignment="1">
      <alignment horizontal="center" vertical="center" wrapText="1"/>
    </xf>
    <xf numFmtId="0" fontId="3" fillId="8" borderId="50" xfId="0" applyFont="1" applyFill="1" applyBorder="1" applyAlignment="1">
      <alignment horizontal="center" vertical="center" wrapText="1"/>
    </xf>
    <xf numFmtId="0" fontId="3" fillId="12" borderId="62" xfId="0" applyFont="1" applyFill="1" applyBorder="1" applyAlignment="1">
      <alignment horizontal="center" vertical="center"/>
    </xf>
    <xf numFmtId="0" fontId="3" fillId="12" borderId="51" xfId="0" applyFont="1" applyFill="1" applyBorder="1" applyAlignment="1">
      <alignment horizontal="center" vertical="center"/>
    </xf>
    <xf numFmtId="0" fontId="19" fillId="12" borderId="20" xfId="0" applyFont="1" applyFill="1" applyBorder="1" applyAlignment="1">
      <alignment horizontal="center"/>
    </xf>
    <xf numFmtId="0" fontId="19" fillId="12" borderId="25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9" fontId="8" fillId="0" borderId="34" xfId="0" applyNumberFormat="1" applyFont="1" applyBorder="1" applyAlignment="1">
      <alignment horizontal="center" vertical="center" wrapText="1"/>
    </xf>
    <xf numFmtId="165" fontId="9" fillId="0" borderId="34" xfId="0" applyNumberFormat="1" applyFont="1" applyBorder="1" applyAlignment="1">
      <alignment horizontal="center" vertical="center" shrinkToFit="1"/>
    </xf>
    <xf numFmtId="165" fontId="9" fillId="0" borderId="50" xfId="0" applyNumberFormat="1" applyFont="1" applyBorder="1" applyAlignment="1">
      <alignment horizontal="center" vertical="top" shrinkToFit="1"/>
    </xf>
    <xf numFmtId="0" fontId="8" fillId="0" borderId="4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1" fontId="8" fillId="0" borderId="14" xfId="0" applyNumberFormat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104775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70CA0E9B-C9C9-A13C-C1E7-E8E2D2788679}"/>
            </a:ext>
          </a:extLst>
        </xdr:cNvPr>
        <xdr:cNvSpPr>
          <a:spLocks noChangeAspect="1" noChangeArrowheads="1"/>
        </xdr:cNvSpPr>
      </xdr:nvSpPr>
      <xdr:spPr bwMode="auto">
        <a:xfrm>
          <a:off x="12715875" y="80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E87FC-1CC7-4B76-A2E7-CD994EB950AD}">
  <sheetPr>
    <pageSetUpPr fitToPage="1"/>
  </sheetPr>
  <dimension ref="B1:N72"/>
  <sheetViews>
    <sheetView tabSelected="1" topLeftCell="B39" zoomScale="80" zoomScaleNormal="80" workbookViewId="0">
      <selection activeCell="H66" sqref="H66"/>
    </sheetView>
  </sheetViews>
  <sheetFormatPr defaultRowHeight="15.75" x14ac:dyDescent="0.25"/>
  <cols>
    <col min="2" max="2" width="29.140625" customWidth="1"/>
    <col min="3" max="3" width="35.140625" bestFit="1" customWidth="1"/>
    <col min="4" max="4" width="32.85546875" bestFit="1" customWidth="1"/>
    <col min="5" max="5" width="82.7109375" customWidth="1"/>
    <col min="6" max="6" width="38.7109375" style="166" bestFit="1" customWidth="1"/>
    <col min="7" max="7" width="17.85546875" bestFit="1" customWidth="1"/>
    <col min="8" max="8" width="21.7109375" bestFit="1" customWidth="1"/>
    <col min="9" max="9" width="26.42578125" style="17" bestFit="1" customWidth="1"/>
    <col min="10" max="10" width="30.5703125" bestFit="1" customWidth="1"/>
  </cols>
  <sheetData>
    <row r="1" spans="2:14" ht="18.75" x14ac:dyDescent="0.25">
      <c r="B1" s="211" t="s">
        <v>71</v>
      </c>
      <c r="C1" s="212"/>
      <c r="D1" s="212"/>
      <c r="E1" s="212"/>
      <c r="F1" s="212"/>
      <c r="G1" s="212"/>
      <c r="H1" s="212"/>
      <c r="I1" s="212"/>
      <c r="J1" s="213"/>
    </row>
    <row r="2" spans="2:14" ht="15" x14ac:dyDescent="0.25">
      <c r="B2" s="214" t="s">
        <v>69</v>
      </c>
      <c r="C2" s="215"/>
      <c r="D2" s="215"/>
      <c r="E2" s="215"/>
      <c r="F2" s="215"/>
      <c r="G2" s="215"/>
      <c r="H2" s="215"/>
      <c r="I2" s="215"/>
      <c r="J2" s="216"/>
    </row>
    <row r="3" spans="2:14" ht="15" x14ac:dyDescent="0.25">
      <c r="B3" s="214" t="s">
        <v>0</v>
      </c>
      <c r="C3" s="215"/>
      <c r="D3" s="215"/>
      <c r="E3" s="215"/>
      <c r="F3" s="215"/>
      <c r="G3" s="215"/>
      <c r="H3" s="215"/>
      <c r="I3" s="215"/>
      <c r="J3" s="216"/>
    </row>
    <row r="4" spans="2:14" ht="15" x14ac:dyDescent="0.25">
      <c r="B4" s="214" t="s">
        <v>70</v>
      </c>
      <c r="C4" s="215"/>
      <c r="D4" s="215"/>
      <c r="E4" s="215"/>
      <c r="F4" s="215"/>
      <c r="G4" s="215"/>
      <c r="H4" s="215"/>
      <c r="I4" s="215"/>
      <c r="J4" s="216"/>
    </row>
    <row r="5" spans="2:14" thickBot="1" x14ac:dyDescent="0.3">
      <c r="B5" s="217" t="s">
        <v>78</v>
      </c>
      <c r="C5" s="218"/>
      <c r="D5" s="218"/>
      <c r="E5" s="218"/>
      <c r="F5" s="218"/>
      <c r="G5" s="218"/>
      <c r="H5" s="218"/>
      <c r="I5" s="218"/>
      <c r="J5" s="219"/>
    </row>
    <row r="6" spans="2:14" ht="30" customHeight="1" thickBot="1" x14ac:dyDescent="0.3">
      <c r="B6" s="181" t="s">
        <v>96</v>
      </c>
      <c r="C6" s="182"/>
      <c r="D6" s="182"/>
      <c r="E6" s="182"/>
      <c r="F6" s="182"/>
      <c r="G6" s="182"/>
      <c r="H6" s="182"/>
      <c r="I6" s="182"/>
      <c r="J6" s="183"/>
    </row>
    <row r="7" spans="2:14" s="18" customFormat="1" ht="47.25" customHeight="1" thickBot="1" x14ac:dyDescent="0.3">
      <c r="B7" s="94"/>
      <c r="C7" s="95" t="s">
        <v>2</v>
      </c>
      <c r="D7" s="96" t="s">
        <v>3</v>
      </c>
      <c r="E7" s="20" t="s">
        <v>4</v>
      </c>
      <c r="F7" s="20" t="s">
        <v>5</v>
      </c>
      <c r="G7" s="20"/>
      <c r="H7" s="20" t="s">
        <v>6</v>
      </c>
      <c r="I7" s="257" t="s">
        <v>7</v>
      </c>
      <c r="J7" s="22" t="s">
        <v>8</v>
      </c>
    </row>
    <row r="8" spans="2:14" ht="18.75" customHeight="1" x14ac:dyDescent="0.25">
      <c r="B8" s="187" t="s">
        <v>9</v>
      </c>
      <c r="C8" s="97" t="s">
        <v>10</v>
      </c>
      <c r="D8" s="98" t="s">
        <v>11</v>
      </c>
      <c r="E8" s="98" t="s">
        <v>75</v>
      </c>
      <c r="F8" s="161">
        <v>0.75</v>
      </c>
      <c r="G8" s="23"/>
      <c r="H8" s="157">
        <v>30800</v>
      </c>
      <c r="I8" s="26">
        <f>H8*0.75</f>
        <v>23100</v>
      </c>
      <c r="J8" s="24" t="s">
        <v>12</v>
      </c>
    </row>
    <row r="9" spans="2:14" x14ac:dyDescent="0.25">
      <c r="B9" s="188"/>
      <c r="C9" s="99" t="s">
        <v>76</v>
      </c>
      <c r="D9" s="100" t="s">
        <v>11</v>
      </c>
      <c r="E9" s="100" t="s">
        <v>77</v>
      </c>
      <c r="F9" s="162">
        <v>0.75</v>
      </c>
      <c r="G9" s="25"/>
      <c r="H9" s="26">
        <v>2625</v>
      </c>
      <c r="I9" s="26">
        <f t="shared" ref="I9:I11" si="0">H9*0.75</f>
        <v>1968.75</v>
      </c>
      <c r="J9" s="27" t="s">
        <v>12</v>
      </c>
    </row>
    <row r="10" spans="2:14" x14ac:dyDescent="0.25">
      <c r="B10" s="188"/>
      <c r="C10" s="99" t="s">
        <v>13</v>
      </c>
      <c r="D10" s="100" t="s">
        <v>11</v>
      </c>
      <c r="E10" s="100" t="s">
        <v>85</v>
      </c>
      <c r="F10" s="162">
        <v>0.75</v>
      </c>
      <c r="G10" s="25"/>
      <c r="H10" s="26">
        <f>300.3*30</f>
        <v>9009</v>
      </c>
      <c r="I10" s="26">
        <f t="shared" si="0"/>
        <v>6756.75</v>
      </c>
      <c r="J10" s="27" t="s">
        <v>12</v>
      </c>
    </row>
    <row r="11" spans="2:14" x14ac:dyDescent="0.25">
      <c r="B11" s="188"/>
      <c r="C11" s="99" t="s">
        <v>14</v>
      </c>
      <c r="D11" s="100" t="s">
        <v>11</v>
      </c>
      <c r="E11" s="100" t="s">
        <v>79</v>
      </c>
      <c r="F11" s="162">
        <v>0.75</v>
      </c>
      <c r="G11" s="25"/>
      <c r="H11" s="26">
        <f>((2*689)+(2*689))+1701.63</f>
        <v>4457.63</v>
      </c>
      <c r="I11" s="26">
        <f t="shared" si="0"/>
        <v>3343.2224999999999</v>
      </c>
      <c r="J11" s="27" t="s">
        <v>15</v>
      </c>
    </row>
    <row r="12" spans="2:14" x14ac:dyDescent="0.25">
      <c r="B12" s="188"/>
      <c r="C12" s="99" t="s">
        <v>80</v>
      </c>
      <c r="D12" s="100" t="s">
        <v>11</v>
      </c>
      <c r="E12" s="100" t="s">
        <v>81</v>
      </c>
      <c r="F12" s="163" t="s">
        <v>82</v>
      </c>
      <c r="G12" s="25"/>
      <c r="H12" s="26">
        <f>10.75*600</f>
        <v>6450</v>
      </c>
      <c r="I12" s="26">
        <f>11*350</f>
        <v>3850</v>
      </c>
      <c r="J12" s="27" t="s">
        <v>12</v>
      </c>
    </row>
    <row r="13" spans="2:14" x14ac:dyDescent="0.25">
      <c r="B13" s="188"/>
      <c r="C13" s="99" t="s">
        <v>16</v>
      </c>
      <c r="D13" s="100" t="s">
        <v>11</v>
      </c>
      <c r="E13" s="100" t="s">
        <v>84</v>
      </c>
      <c r="F13" s="162">
        <v>0.75</v>
      </c>
      <c r="G13" s="25"/>
      <c r="H13" s="26">
        <f>300.3*5</f>
        <v>1501.5</v>
      </c>
      <c r="I13" s="26">
        <f>H13*0.75</f>
        <v>1126.125</v>
      </c>
      <c r="J13" s="27" t="s">
        <v>12</v>
      </c>
    </row>
    <row r="14" spans="2:14" x14ac:dyDescent="0.25">
      <c r="B14" s="188"/>
      <c r="C14" s="99" t="s">
        <v>83</v>
      </c>
      <c r="D14" s="100" t="s">
        <v>11</v>
      </c>
      <c r="E14" s="100" t="s">
        <v>17</v>
      </c>
      <c r="F14" s="162">
        <v>0.75</v>
      </c>
      <c r="G14" s="25"/>
      <c r="H14" s="26">
        <f>(80*24)</f>
        <v>1920</v>
      </c>
      <c r="I14" s="26">
        <f>H14*0.75</f>
        <v>1440</v>
      </c>
      <c r="J14" s="27" t="s">
        <v>12</v>
      </c>
      <c r="N14" s="2"/>
    </row>
    <row r="15" spans="2:14" x14ac:dyDescent="0.25">
      <c r="B15" s="188"/>
      <c r="C15" s="99" t="s">
        <v>18</v>
      </c>
      <c r="D15" s="100" t="s">
        <v>19</v>
      </c>
      <c r="E15" s="100" t="s">
        <v>86</v>
      </c>
      <c r="F15" s="163" t="s">
        <v>20</v>
      </c>
      <c r="G15" s="25"/>
      <c r="H15" s="26">
        <f>9*350</f>
        <v>3150</v>
      </c>
      <c r="I15" s="26">
        <f>9*110</f>
        <v>990</v>
      </c>
      <c r="J15" s="27" t="s">
        <v>21</v>
      </c>
      <c r="N15" s="2"/>
    </row>
    <row r="16" spans="2:14" x14ac:dyDescent="0.25">
      <c r="B16" s="188"/>
      <c r="C16" s="99" t="s">
        <v>22</v>
      </c>
      <c r="D16" s="100" t="s">
        <v>19</v>
      </c>
      <c r="E16" s="100" t="s">
        <v>87</v>
      </c>
      <c r="F16" s="162">
        <v>0.75</v>
      </c>
      <c r="G16" s="25"/>
      <c r="H16" s="26">
        <f>9*450</f>
        <v>4050</v>
      </c>
      <c r="I16" s="26">
        <f>H16*0.75</f>
        <v>3037.5</v>
      </c>
      <c r="J16" s="27" t="s">
        <v>21</v>
      </c>
      <c r="N16" s="2"/>
    </row>
    <row r="17" spans="2:14" x14ac:dyDescent="0.25">
      <c r="B17" s="188"/>
      <c r="C17" s="99" t="s">
        <v>23</v>
      </c>
      <c r="D17" s="100" t="s">
        <v>19</v>
      </c>
      <c r="E17" s="100" t="s">
        <v>88</v>
      </c>
      <c r="F17" s="163" t="s">
        <v>82</v>
      </c>
      <c r="G17" s="25"/>
      <c r="H17" s="26">
        <f>10.75*850</f>
        <v>9137.5</v>
      </c>
      <c r="I17" s="26">
        <f>10.75*350</f>
        <v>3762.5</v>
      </c>
      <c r="J17" s="27" t="s">
        <v>21</v>
      </c>
      <c r="N17" s="2"/>
    </row>
    <row r="18" spans="2:14" x14ac:dyDescent="0.25">
      <c r="B18" s="188"/>
      <c r="C18" s="152" t="s">
        <v>24</v>
      </c>
      <c r="D18" s="153" t="s">
        <v>11</v>
      </c>
      <c r="E18" s="153" t="s">
        <v>89</v>
      </c>
      <c r="F18" s="164">
        <v>0.75</v>
      </c>
      <c r="G18" s="154"/>
      <c r="H18" s="158">
        <f>36*80</f>
        <v>2880</v>
      </c>
      <c r="I18" s="29">
        <f>H18*0.75</f>
        <v>2160</v>
      </c>
      <c r="J18" s="155" t="s">
        <v>12</v>
      </c>
      <c r="N18" s="2"/>
    </row>
    <row r="19" spans="2:14" ht="21" customHeight="1" thickBot="1" x14ac:dyDescent="0.3">
      <c r="B19" s="188"/>
      <c r="C19" s="101" t="s">
        <v>72</v>
      </c>
      <c r="D19" s="102" t="s">
        <v>73</v>
      </c>
      <c r="E19" s="102" t="s">
        <v>74</v>
      </c>
      <c r="F19" s="165" t="s">
        <v>34</v>
      </c>
      <c r="G19" s="28"/>
      <c r="H19" s="159">
        <v>2875</v>
      </c>
      <c r="I19" s="29">
        <f>H19</f>
        <v>2875</v>
      </c>
      <c r="J19" s="30">
        <v>7958</v>
      </c>
      <c r="N19" s="2"/>
    </row>
    <row r="20" spans="2:14" ht="15.75" customHeight="1" thickBot="1" x14ac:dyDescent="0.3">
      <c r="B20" s="189"/>
      <c r="C20" s="184" t="s">
        <v>25</v>
      </c>
      <c r="D20" s="185"/>
      <c r="E20" s="186"/>
      <c r="F20" s="103"/>
      <c r="G20" s="31"/>
      <c r="H20" s="32">
        <f>SUM(H8:H19)</f>
        <v>78855.63</v>
      </c>
      <c r="I20" s="33">
        <f>SUM(I8:I19)</f>
        <v>54409.847500000003</v>
      </c>
      <c r="J20" s="13"/>
    </row>
    <row r="21" spans="2:14" ht="15.75" customHeight="1" thickBot="1" x14ac:dyDescent="0.3">
      <c r="B21" s="4"/>
      <c r="C21" s="9"/>
      <c r="D21" s="9"/>
      <c r="E21" s="9"/>
      <c r="F21" s="9"/>
      <c r="G21" s="9"/>
      <c r="H21" s="9"/>
      <c r="I21" s="14"/>
      <c r="J21" s="10"/>
    </row>
    <row r="22" spans="2:14" s="18" customFormat="1" ht="42" customHeight="1" thickBot="1" x14ac:dyDescent="0.3">
      <c r="B22" s="92"/>
      <c r="C22" s="104" t="s">
        <v>2</v>
      </c>
      <c r="D22" s="96" t="s">
        <v>3</v>
      </c>
      <c r="E22" s="20" t="s">
        <v>4</v>
      </c>
      <c r="F22" s="20" t="s">
        <v>5</v>
      </c>
      <c r="G22" s="20"/>
      <c r="H22" s="20" t="s">
        <v>6</v>
      </c>
      <c r="I22" s="21" t="s">
        <v>7</v>
      </c>
      <c r="J22" s="34" t="s">
        <v>8</v>
      </c>
    </row>
    <row r="23" spans="2:14" ht="36" customHeight="1" thickBot="1" x14ac:dyDescent="0.3">
      <c r="B23" s="190" t="s">
        <v>26</v>
      </c>
      <c r="C23" s="105" t="s">
        <v>27</v>
      </c>
      <c r="D23" s="106" t="s">
        <v>28</v>
      </c>
      <c r="E23" s="107" t="s">
        <v>90</v>
      </c>
      <c r="F23" s="125">
        <v>1</v>
      </c>
      <c r="G23" s="35"/>
      <c r="H23" s="62">
        <f>(1866.78+3212.5+2659.36+3503.42)</f>
        <v>11242.06</v>
      </c>
      <c r="I23" s="63">
        <f>H23</f>
        <v>11242.06</v>
      </c>
      <c r="J23" s="37" t="s">
        <v>29</v>
      </c>
    </row>
    <row r="24" spans="2:14" ht="15.75" customHeight="1" thickBot="1" x14ac:dyDescent="0.3">
      <c r="B24" s="189"/>
      <c r="C24" s="196" t="s">
        <v>30</v>
      </c>
      <c r="D24" s="197"/>
      <c r="E24" s="198"/>
      <c r="F24" s="108"/>
      <c r="G24" s="38"/>
      <c r="H24" s="38">
        <f>SUM(H23:H23)</f>
        <v>11242.06</v>
      </c>
      <c r="I24" s="39">
        <f>I23</f>
        <v>11242.06</v>
      </c>
      <c r="J24" s="40"/>
    </row>
    <row r="25" spans="2:14" ht="15.75" customHeight="1" thickBot="1" x14ac:dyDescent="0.3">
      <c r="B25" s="4"/>
      <c r="C25" s="11"/>
      <c r="D25" s="11"/>
      <c r="E25" s="11"/>
      <c r="F25" s="11"/>
      <c r="G25" s="11"/>
      <c r="H25" s="11"/>
      <c r="I25" s="15"/>
      <c r="J25" s="12"/>
    </row>
    <row r="26" spans="2:14" s="18" customFormat="1" ht="51" customHeight="1" thickBot="1" x14ac:dyDescent="0.3">
      <c r="B26" s="92"/>
      <c r="C26" s="104" t="s">
        <v>2</v>
      </c>
      <c r="D26" s="96" t="s">
        <v>3</v>
      </c>
      <c r="E26" s="20" t="s">
        <v>4</v>
      </c>
      <c r="F26" s="20" t="s">
        <v>5</v>
      </c>
      <c r="G26" s="20"/>
      <c r="H26" s="20" t="s">
        <v>6</v>
      </c>
      <c r="I26" s="21" t="s">
        <v>7</v>
      </c>
      <c r="J26" s="34" t="s">
        <v>8</v>
      </c>
    </row>
    <row r="27" spans="2:14" ht="49.5" customHeight="1" x14ac:dyDescent="0.25">
      <c r="B27" s="199" t="s">
        <v>31</v>
      </c>
      <c r="C27" s="109" t="s">
        <v>32</v>
      </c>
      <c r="D27" s="110" t="s">
        <v>33</v>
      </c>
      <c r="E27" s="111" t="s">
        <v>95</v>
      </c>
      <c r="F27" s="167">
        <v>1</v>
      </c>
      <c r="G27" s="41"/>
      <c r="H27" s="55">
        <f>2625+4312.5+46500+19758.8</f>
        <v>73196.3</v>
      </c>
      <c r="I27" s="84">
        <f>H27</f>
        <v>73196.3</v>
      </c>
      <c r="J27" s="42" t="s">
        <v>91</v>
      </c>
    </row>
    <row r="28" spans="2:14" ht="66.75" customHeight="1" thickBot="1" x14ac:dyDescent="0.3">
      <c r="B28" s="199"/>
      <c r="C28" s="112" t="s">
        <v>35</v>
      </c>
      <c r="D28" s="113" t="s">
        <v>36</v>
      </c>
      <c r="E28" s="114" t="s">
        <v>92</v>
      </c>
      <c r="F28" s="160">
        <v>1</v>
      </c>
      <c r="G28" s="43"/>
      <c r="H28" s="156">
        <f>39.04*200*1.2274</f>
        <v>9583.5392000000011</v>
      </c>
      <c r="I28" s="85">
        <f>H28</f>
        <v>9583.5392000000011</v>
      </c>
      <c r="J28" s="44" t="s">
        <v>93</v>
      </c>
    </row>
    <row r="29" spans="2:14" ht="16.5" thickBot="1" x14ac:dyDescent="0.3">
      <c r="B29" s="189"/>
      <c r="C29" s="204" t="s">
        <v>37</v>
      </c>
      <c r="D29" s="205"/>
      <c r="E29" s="206"/>
      <c r="F29" s="115"/>
      <c r="G29" s="45"/>
      <c r="H29" s="46">
        <f>SUM(H27:H28)</f>
        <v>82779.839200000002</v>
      </c>
      <c r="I29" s="47">
        <f>SUM(I27:I28)</f>
        <v>82779.839200000002</v>
      </c>
      <c r="J29" s="48"/>
    </row>
    <row r="30" spans="2:14" thickBot="1" x14ac:dyDescent="0.3">
      <c r="B30" s="200"/>
      <c r="C30" s="201"/>
      <c r="D30" s="201"/>
      <c r="E30" s="201"/>
      <c r="F30" s="201"/>
      <c r="G30" s="202"/>
      <c r="H30" s="202"/>
      <c r="I30" s="202"/>
      <c r="J30" s="203"/>
    </row>
    <row r="31" spans="2:14" s="18" customFormat="1" ht="76.5" customHeight="1" thickBot="1" x14ac:dyDescent="0.3">
      <c r="B31" s="19"/>
      <c r="C31" s="104" t="s">
        <v>2</v>
      </c>
      <c r="D31" s="96" t="s">
        <v>3</v>
      </c>
      <c r="E31" s="20" t="s">
        <v>4</v>
      </c>
      <c r="F31" s="20" t="s">
        <v>5</v>
      </c>
      <c r="G31" s="90" t="s">
        <v>38</v>
      </c>
      <c r="H31" s="20" t="s">
        <v>6</v>
      </c>
      <c r="I31" s="21" t="s">
        <v>7</v>
      </c>
      <c r="J31" s="91"/>
    </row>
    <row r="32" spans="2:14" ht="21" customHeight="1" thickBot="1" x14ac:dyDescent="0.3">
      <c r="B32" s="190" t="s">
        <v>39</v>
      </c>
      <c r="C32" s="105" t="s">
        <v>40</v>
      </c>
      <c r="D32" s="106" t="s">
        <v>11</v>
      </c>
      <c r="E32" s="107" t="s">
        <v>94</v>
      </c>
      <c r="F32" s="124" t="s">
        <v>41</v>
      </c>
      <c r="G32" s="62">
        <f>7599.73+6065.86</f>
        <v>13665.59</v>
      </c>
      <c r="H32" s="62">
        <f>G32*0.5</f>
        <v>6832.7950000000001</v>
      </c>
      <c r="I32" s="36">
        <v>0</v>
      </c>
      <c r="J32" s="49" t="s">
        <v>42</v>
      </c>
    </row>
    <row r="33" spans="2:10" ht="16.5" thickBot="1" x14ac:dyDescent="0.3">
      <c r="B33" s="189"/>
      <c r="C33" s="184" t="s">
        <v>43</v>
      </c>
      <c r="D33" s="185"/>
      <c r="E33" s="186"/>
      <c r="F33" s="103"/>
      <c r="G33" s="31">
        <f>SUM(G27:G32)</f>
        <v>13665.59</v>
      </c>
      <c r="H33" s="31">
        <f>SUM(H32:H32)</f>
        <v>6832.7950000000001</v>
      </c>
      <c r="I33" s="32">
        <f>I32</f>
        <v>0</v>
      </c>
      <c r="J33" s="50"/>
    </row>
    <row r="34" spans="2:10" ht="16.5" thickBot="1" x14ac:dyDescent="0.3">
      <c r="B34" s="1"/>
      <c r="C34" s="207" t="s">
        <v>44</v>
      </c>
      <c r="D34" s="207"/>
      <c r="E34" s="207"/>
      <c r="F34" s="116"/>
      <c r="G34" s="51"/>
      <c r="H34" s="51">
        <f>SUM(H20,H33,H24,H29)</f>
        <v>179710.3242</v>
      </c>
      <c r="I34" s="51">
        <f>SUM(I33,I29,I24,I20)</f>
        <v>148431.74670000002</v>
      </c>
      <c r="J34" s="52"/>
    </row>
    <row r="35" spans="2:10" x14ac:dyDescent="0.25">
      <c r="B35" s="5"/>
      <c r="C35" s="93"/>
      <c r="D35" s="93"/>
      <c r="E35" s="93"/>
      <c r="F35" s="93"/>
      <c r="G35" s="53"/>
      <c r="H35" s="53"/>
      <c r="I35" s="54"/>
      <c r="J35" s="53"/>
    </row>
    <row r="36" spans="2:10" ht="18" customHeight="1" thickBot="1" x14ac:dyDescent="0.3">
      <c r="B36" s="5"/>
      <c r="C36" s="93"/>
      <c r="D36" s="93"/>
      <c r="E36" s="93"/>
      <c r="F36" s="93"/>
      <c r="G36" s="53"/>
      <c r="H36" s="53"/>
      <c r="I36" s="54"/>
      <c r="J36" s="53"/>
    </row>
    <row r="37" spans="2:10" ht="48" customHeight="1" thickBot="1" x14ac:dyDescent="0.3">
      <c r="B37" s="208" t="s">
        <v>109</v>
      </c>
      <c r="C37" s="209"/>
      <c r="D37" s="209"/>
      <c r="E37" s="209"/>
      <c r="F37" s="209"/>
      <c r="G37" s="209"/>
      <c r="H37" s="209"/>
      <c r="I37" s="209"/>
      <c r="J37" s="210"/>
    </row>
    <row r="38" spans="2:10" s="18" customFormat="1" ht="72" customHeight="1" thickBot="1" x14ac:dyDescent="0.3">
      <c r="B38" s="190" t="s">
        <v>45</v>
      </c>
      <c r="C38" s="104" t="s">
        <v>2</v>
      </c>
      <c r="D38" s="96" t="s">
        <v>3</v>
      </c>
      <c r="E38" s="20" t="s">
        <v>4</v>
      </c>
      <c r="F38" s="20" t="s">
        <v>5</v>
      </c>
      <c r="G38" s="20" t="s">
        <v>38</v>
      </c>
      <c r="H38" s="20" t="s">
        <v>6</v>
      </c>
      <c r="I38" s="21" t="s">
        <v>7</v>
      </c>
      <c r="J38" s="34" t="s">
        <v>8</v>
      </c>
    </row>
    <row r="39" spans="2:10" ht="31.5" x14ac:dyDescent="0.25">
      <c r="B39" s="191"/>
      <c r="C39" s="117" t="s">
        <v>46</v>
      </c>
      <c r="D39" s="118" t="s">
        <v>47</v>
      </c>
      <c r="E39" s="118" t="s">
        <v>98</v>
      </c>
      <c r="F39" s="118" t="s">
        <v>97</v>
      </c>
      <c r="G39" s="55">
        <v>89392.5</v>
      </c>
      <c r="H39" s="55">
        <f>G39*0.1</f>
        <v>8939.25</v>
      </c>
      <c r="I39" s="55">
        <f>0.1*(74*300)</f>
        <v>2220</v>
      </c>
      <c r="J39" s="56" t="s">
        <v>48</v>
      </c>
    </row>
    <row r="40" spans="2:10" ht="31.5" customHeight="1" thickBot="1" x14ac:dyDescent="0.3">
      <c r="B40" s="191"/>
      <c r="C40" s="119" t="s">
        <v>49</v>
      </c>
      <c r="D40" s="120" t="s">
        <v>47</v>
      </c>
      <c r="E40" s="121" t="s">
        <v>50</v>
      </c>
      <c r="F40" s="121" t="s">
        <v>99</v>
      </c>
      <c r="G40" s="57">
        <v>6300</v>
      </c>
      <c r="H40" s="57">
        <f>G40*0.1</f>
        <v>630</v>
      </c>
      <c r="I40" s="57">
        <f>0.2*(100*14)</f>
        <v>280</v>
      </c>
      <c r="J40" s="58" t="s">
        <v>48</v>
      </c>
    </row>
    <row r="41" spans="2:10" ht="16.5" thickBot="1" x14ac:dyDescent="0.3">
      <c r="B41" s="192"/>
      <c r="C41" s="193" t="s">
        <v>51</v>
      </c>
      <c r="D41" s="194"/>
      <c r="E41" s="195"/>
      <c r="F41" s="122"/>
      <c r="G41" s="59">
        <f>SUM(G39:G40)</f>
        <v>95692.5</v>
      </c>
      <c r="H41" s="59">
        <f>SUM(H39:H40)</f>
        <v>9569.25</v>
      </c>
      <c r="I41" s="32">
        <f>SUM(I39:I40)</f>
        <v>2500</v>
      </c>
      <c r="J41" s="60"/>
    </row>
    <row r="42" spans="2:10" ht="16.5" thickBot="1" x14ac:dyDescent="0.3">
      <c r="B42" s="123"/>
      <c r="C42" s="11"/>
      <c r="D42" s="11"/>
      <c r="E42" s="11"/>
      <c r="F42" s="11"/>
      <c r="G42" s="11"/>
      <c r="H42" s="11"/>
      <c r="I42" s="15"/>
      <c r="J42" s="12"/>
    </row>
    <row r="43" spans="2:10" ht="21" customHeight="1" thickBot="1" x14ac:dyDescent="0.3">
      <c r="B43" s="190" t="s">
        <v>52</v>
      </c>
      <c r="C43" s="90" t="s">
        <v>2</v>
      </c>
      <c r="D43" s="96" t="s">
        <v>3</v>
      </c>
      <c r="E43" s="20" t="s">
        <v>4</v>
      </c>
      <c r="F43" s="20" t="s">
        <v>5</v>
      </c>
      <c r="G43" s="20"/>
      <c r="H43" s="20" t="s">
        <v>6</v>
      </c>
      <c r="I43" s="61" t="s">
        <v>7</v>
      </c>
      <c r="J43" s="34" t="s">
        <v>8</v>
      </c>
    </row>
    <row r="44" spans="2:10" ht="18.75" customHeight="1" x14ac:dyDescent="0.25">
      <c r="B44" s="199"/>
      <c r="C44" s="247" t="s">
        <v>100</v>
      </c>
      <c r="D44" s="247" t="s">
        <v>33</v>
      </c>
      <c r="E44" s="248" t="s">
        <v>102</v>
      </c>
      <c r="F44" s="249">
        <v>1</v>
      </c>
      <c r="G44" s="250"/>
      <c r="H44" s="250">
        <f>2.85*1875</f>
        <v>5343.75</v>
      </c>
      <c r="I44" s="251">
        <f>H44</f>
        <v>5343.75</v>
      </c>
      <c r="J44" s="252" t="s">
        <v>101</v>
      </c>
    </row>
    <row r="45" spans="2:10" s="166" customFormat="1" ht="48" thickBot="1" x14ac:dyDescent="0.3">
      <c r="B45" s="199"/>
      <c r="C45" s="256" t="s">
        <v>35</v>
      </c>
      <c r="D45" s="253" t="s">
        <v>36</v>
      </c>
      <c r="E45" s="253" t="s">
        <v>111</v>
      </c>
      <c r="F45" s="254">
        <v>1</v>
      </c>
      <c r="G45" s="66"/>
      <c r="H45" s="66">
        <f>2.85*200*1.2274</f>
        <v>699.61800000000005</v>
      </c>
      <c r="I45" s="66">
        <f>H45</f>
        <v>699.61800000000005</v>
      </c>
      <c r="J45" s="255" t="s">
        <v>93</v>
      </c>
    </row>
    <row r="46" spans="2:10" ht="16.5" thickBot="1" x14ac:dyDescent="0.3">
      <c r="B46" s="189"/>
      <c r="C46" s="197" t="s">
        <v>54</v>
      </c>
      <c r="D46" s="197"/>
      <c r="E46" s="198"/>
      <c r="F46" s="108"/>
      <c r="G46" s="38"/>
      <c r="H46" s="38">
        <f>SUM(H44:H45)</f>
        <v>6043.3680000000004</v>
      </c>
      <c r="I46" s="39">
        <f>SUM(I44:I45)</f>
        <v>6043.3680000000004</v>
      </c>
      <c r="J46" s="40"/>
    </row>
    <row r="47" spans="2:10" ht="16.5" thickBot="1" x14ac:dyDescent="0.3">
      <c r="B47" s="3"/>
      <c r="C47" s="7"/>
      <c r="D47" s="7"/>
      <c r="E47" s="7"/>
      <c r="F47" s="7"/>
      <c r="G47" s="7"/>
      <c r="H47" s="7"/>
      <c r="I47" s="16"/>
      <c r="J47" s="8"/>
    </row>
    <row r="48" spans="2:10" ht="50.25" customHeight="1" thickBot="1" x14ac:dyDescent="0.3">
      <c r="B48" s="190" t="s">
        <v>55</v>
      </c>
      <c r="C48" s="104" t="s">
        <v>2</v>
      </c>
      <c r="D48" s="96" t="s">
        <v>3</v>
      </c>
      <c r="E48" s="20" t="s">
        <v>4</v>
      </c>
      <c r="F48" s="20" t="s">
        <v>5</v>
      </c>
      <c r="G48" s="20" t="s">
        <v>53</v>
      </c>
      <c r="H48" s="20" t="s">
        <v>6</v>
      </c>
      <c r="I48" s="21" t="s">
        <v>7</v>
      </c>
      <c r="J48" s="34" t="s">
        <v>8</v>
      </c>
    </row>
    <row r="49" spans="2:10" ht="32.25" customHeight="1" x14ac:dyDescent="0.25">
      <c r="B49" s="188"/>
      <c r="C49" s="117" t="s">
        <v>56</v>
      </c>
      <c r="D49" s="118" t="s">
        <v>47</v>
      </c>
      <c r="E49" s="118" t="s">
        <v>57</v>
      </c>
      <c r="F49" s="118" t="s">
        <v>58</v>
      </c>
      <c r="G49" s="55">
        <v>207.7</v>
      </c>
      <c r="H49" s="55">
        <f>G49*0.1</f>
        <v>20.77</v>
      </c>
      <c r="I49" s="55">
        <f>0.6*335*0.1*1.05</f>
        <v>21.105000000000004</v>
      </c>
      <c r="J49" s="56" t="s">
        <v>48</v>
      </c>
    </row>
    <row r="50" spans="2:10" ht="32.25" customHeight="1" x14ac:dyDescent="0.25">
      <c r="B50" s="188"/>
      <c r="C50" s="126" t="s">
        <v>59</v>
      </c>
      <c r="D50" s="127" t="s">
        <v>47</v>
      </c>
      <c r="E50" s="127" t="s">
        <v>103</v>
      </c>
      <c r="F50" s="127" t="s">
        <v>60</v>
      </c>
      <c r="G50" s="64">
        <f>5584.15</f>
        <v>5584.15</v>
      </c>
      <c r="H50" s="64">
        <f>5584.15*0.1</f>
        <v>558.41499999999996</v>
      </c>
      <c r="I50" s="64">
        <v>0</v>
      </c>
      <c r="J50" s="65" t="s">
        <v>48</v>
      </c>
    </row>
    <row r="51" spans="2:10" ht="32.25" customHeight="1" x14ac:dyDescent="0.25">
      <c r="B51" s="188"/>
      <c r="C51" s="126" t="s">
        <v>104</v>
      </c>
      <c r="D51" s="127" t="s">
        <v>47</v>
      </c>
      <c r="E51" s="127" t="s">
        <v>105</v>
      </c>
      <c r="F51" s="127" t="s">
        <v>60</v>
      </c>
      <c r="G51" s="64">
        <f>1500</f>
        <v>1500</v>
      </c>
      <c r="H51" s="64">
        <f>0.05*G51</f>
        <v>75</v>
      </c>
      <c r="I51" s="64">
        <v>0</v>
      </c>
      <c r="J51" s="65" t="s">
        <v>48</v>
      </c>
    </row>
    <row r="52" spans="2:10" ht="32.25" customHeight="1" thickBot="1" x14ac:dyDescent="0.3">
      <c r="B52" s="188"/>
      <c r="C52" s="119" t="s">
        <v>61</v>
      </c>
      <c r="D52" s="120" t="s">
        <v>47</v>
      </c>
      <c r="E52" s="120" t="s">
        <v>106</v>
      </c>
      <c r="F52" s="128">
        <v>1</v>
      </c>
      <c r="G52" s="66">
        <v>6555</v>
      </c>
      <c r="H52" s="66">
        <f>G52*0.5</f>
        <v>3277.5</v>
      </c>
      <c r="I52" s="66">
        <f>H52</f>
        <v>3277.5</v>
      </c>
      <c r="J52" s="67">
        <v>6907</v>
      </c>
    </row>
    <row r="53" spans="2:10" ht="18" customHeight="1" thickBot="1" x14ac:dyDescent="0.3">
      <c r="B53" s="189"/>
      <c r="C53" s="193" t="s">
        <v>62</v>
      </c>
      <c r="D53" s="194"/>
      <c r="E53" s="195"/>
      <c r="F53" s="129"/>
      <c r="G53" s="68">
        <f>SUM(G49:G52)</f>
        <v>13846.849999999999</v>
      </c>
      <c r="H53" s="69">
        <f>SUM(H49:H52)</f>
        <v>3931.6849999999999</v>
      </c>
      <c r="I53" s="70">
        <f>SUM(I49:I52)</f>
        <v>3298.605</v>
      </c>
      <c r="J53" s="71"/>
    </row>
    <row r="54" spans="2:10" ht="16.5" thickBot="1" x14ac:dyDescent="0.3">
      <c r="B54" s="1"/>
      <c r="C54" s="220" t="s">
        <v>63</v>
      </c>
      <c r="D54" s="220"/>
      <c r="E54" s="220"/>
      <c r="F54" s="130"/>
      <c r="G54" s="72">
        <f>SUM(G41,G24,G53)</f>
        <v>109539.35</v>
      </c>
      <c r="H54" s="73">
        <f>SUM(H41,H53,H46)</f>
        <v>19544.303</v>
      </c>
      <c r="I54" s="74">
        <f>SUM(I53,I46,I41)</f>
        <v>11841.973</v>
      </c>
      <c r="J54" s="75"/>
    </row>
    <row r="55" spans="2:10" ht="18.75" customHeight="1" thickBot="1" x14ac:dyDescent="0.3">
      <c r="B55" s="5"/>
      <c r="C55" s="93"/>
      <c r="D55" s="93"/>
      <c r="E55" s="93"/>
      <c r="F55" s="93"/>
      <c r="G55" s="53"/>
      <c r="H55" s="53"/>
      <c r="I55" s="54"/>
      <c r="J55" s="53"/>
    </row>
    <row r="56" spans="2:10" ht="36.75" customHeight="1" thickBot="1" x14ac:dyDescent="0.3">
      <c r="B56" s="230" t="s">
        <v>107</v>
      </c>
      <c r="C56" s="231"/>
      <c r="D56" s="231"/>
      <c r="E56" s="231"/>
      <c r="F56" s="231"/>
      <c r="G56" s="232"/>
      <c r="H56" s="134" t="s">
        <v>108</v>
      </c>
      <c r="I56" s="135" t="s">
        <v>66</v>
      </c>
    </row>
    <row r="57" spans="2:10" x14ac:dyDescent="0.25">
      <c r="B57" s="131"/>
      <c r="C57" s="227" t="str">
        <f>B8</f>
        <v>1.1: RAB Drilling Production</v>
      </c>
      <c r="D57" s="228"/>
      <c r="E57" s="228"/>
      <c r="F57" s="229"/>
      <c r="G57" s="229"/>
      <c r="H57" s="76">
        <f>H20</f>
        <v>78855.63</v>
      </c>
      <c r="I57" s="77">
        <f>I20</f>
        <v>54409.847500000003</v>
      </c>
    </row>
    <row r="58" spans="2:10" x14ac:dyDescent="0.25">
      <c r="B58" s="132"/>
      <c r="C58" s="224" t="str">
        <f>B23</f>
        <v>1.2: Assays  and Shipping</v>
      </c>
      <c r="D58" s="225"/>
      <c r="E58" s="225"/>
      <c r="F58" s="226"/>
      <c r="G58" s="226"/>
      <c r="H58" s="78">
        <f>H24</f>
        <v>11242.06</v>
      </c>
      <c r="I58" s="79">
        <f>I24</f>
        <v>11242.06</v>
      </c>
    </row>
    <row r="59" spans="2:10" x14ac:dyDescent="0.25">
      <c r="B59" s="132"/>
      <c r="C59" s="224" t="str">
        <f>B27</f>
        <v>1.3: Helicopter, Transport, fuel</v>
      </c>
      <c r="D59" s="225"/>
      <c r="E59" s="225"/>
      <c r="F59" s="226"/>
      <c r="G59" s="226"/>
      <c r="H59" s="78">
        <f>H29</f>
        <v>82779.839200000002</v>
      </c>
      <c r="I59" s="79">
        <f>I29</f>
        <v>82779.839200000002</v>
      </c>
    </row>
    <row r="60" spans="2:10" ht="16.5" thickBot="1" x14ac:dyDescent="0.3">
      <c r="B60" s="132"/>
      <c r="C60" s="224" t="str">
        <f>B32</f>
        <v>1.4: Crew Travel</v>
      </c>
      <c r="D60" s="225"/>
      <c r="E60" s="225"/>
      <c r="F60" s="226"/>
      <c r="G60" s="226"/>
      <c r="H60" s="80">
        <f>H33</f>
        <v>6832.7950000000001</v>
      </c>
      <c r="I60" s="81">
        <f>I33</f>
        <v>0</v>
      </c>
    </row>
    <row r="61" spans="2:10" ht="42" customHeight="1" thickBot="1" x14ac:dyDescent="0.3">
      <c r="B61" s="132"/>
      <c r="C61" s="221" t="str">
        <f>B6</f>
        <v>1.0: RAB Drilling - Groundtruth Drilling, GroundTruth Exploration, Bureau Veritas, Great Slave Helicopters, Tintina Air</v>
      </c>
      <c r="D61" s="222"/>
      <c r="E61" s="222"/>
      <c r="F61" s="223"/>
      <c r="G61" s="223"/>
      <c r="H61" s="87">
        <f>H34</f>
        <v>179710.3242</v>
      </c>
      <c r="I61" s="88">
        <f>I34</f>
        <v>148431.74670000002</v>
      </c>
    </row>
    <row r="62" spans="2:10" x14ac:dyDescent="0.25">
      <c r="B62" s="133"/>
      <c r="C62" s="179" t="str">
        <f>B38</f>
        <v>2.1: Pad Building Labour</v>
      </c>
      <c r="D62" s="180"/>
      <c r="E62" s="180"/>
      <c r="F62" s="180"/>
      <c r="G62" s="180"/>
      <c r="H62" s="76">
        <f>H41</f>
        <v>9569.25</v>
      </c>
      <c r="I62" s="77">
        <f>I41</f>
        <v>2500</v>
      </c>
    </row>
    <row r="63" spans="2:10" x14ac:dyDescent="0.25">
      <c r="B63" s="133"/>
      <c r="C63" s="177" t="str">
        <f>B43</f>
        <v>2.2: Helicopter</v>
      </c>
      <c r="D63" s="178"/>
      <c r="E63" s="178"/>
      <c r="F63" s="178"/>
      <c r="G63" s="178"/>
      <c r="H63" s="78">
        <f>H46</f>
        <v>6043.3680000000004</v>
      </c>
      <c r="I63" s="79">
        <f>I46</f>
        <v>6043.3680000000004</v>
      </c>
    </row>
    <row r="64" spans="2:10" ht="16.5" thickBot="1" x14ac:dyDescent="0.3">
      <c r="B64" s="133"/>
      <c r="C64" s="177" t="str">
        <f>B48</f>
        <v>2.3: Crew Travel/Mobilization</v>
      </c>
      <c r="D64" s="178"/>
      <c r="E64" s="178"/>
      <c r="F64" s="178"/>
      <c r="G64" s="178"/>
      <c r="H64" s="82">
        <f>H51</f>
        <v>75</v>
      </c>
      <c r="I64" s="81">
        <f>I53</f>
        <v>3298.605</v>
      </c>
    </row>
    <row r="65" spans="2:10" ht="42" customHeight="1" thickBot="1" x14ac:dyDescent="0.3">
      <c r="B65" s="133"/>
      <c r="C65" s="175" t="str">
        <f>B37</f>
        <v>2.0 Pad Building - Minconsult Exploration Services, Great Slave Helicopters.</v>
      </c>
      <c r="D65" s="176"/>
      <c r="E65" s="176"/>
      <c r="F65" s="176"/>
      <c r="G65" s="176"/>
      <c r="H65" s="87">
        <f>H54</f>
        <v>19544.303</v>
      </c>
      <c r="I65" s="89">
        <f>I54</f>
        <v>11841.973</v>
      </c>
    </row>
    <row r="66" spans="2:10" ht="34.5" thickBot="1" x14ac:dyDescent="0.3">
      <c r="B66" s="172" t="s">
        <v>110</v>
      </c>
      <c r="C66" s="173"/>
      <c r="D66" s="173"/>
      <c r="E66" s="173"/>
      <c r="F66" s="173"/>
      <c r="G66" s="174"/>
      <c r="H66" s="86">
        <f>SUM(H61,H65)</f>
        <v>199254.62719999999</v>
      </c>
      <c r="I66" s="169">
        <f>SUM(I61,I65)</f>
        <v>160273.71970000002</v>
      </c>
    </row>
    <row r="67" spans="2:10" x14ac:dyDescent="0.25">
      <c r="B67" s="6"/>
    </row>
    <row r="68" spans="2:10" ht="36" x14ac:dyDescent="0.25">
      <c r="C68" s="171" t="s">
        <v>68</v>
      </c>
      <c r="D68" s="171"/>
      <c r="E68" s="171"/>
      <c r="F68" s="171"/>
      <c r="G68" s="171"/>
      <c r="H68" s="170">
        <v>50000</v>
      </c>
      <c r="I68" s="171"/>
      <c r="J68" s="168"/>
    </row>
    <row r="69" spans="2:10" ht="19.5" customHeight="1" x14ac:dyDescent="0.25"/>
    <row r="70" spans="2:10" ht="19.5" customHeight="1" x14ac:dyDescent="0.25"/>
    <row r="72" spans="2:10" x14ac:dyDescent="0.25">
      <c r="J72" s="83"/>
    </row>
  </sheetData>
  <mergeCells count="37">
    <mergeCell ref="C63:G63"/>
    <mergeCell ref="B43:B46"/>
    <mergeCell ref="C46:E46"/>
    <mergeCell ref="C54:E54"/>
    <mergeCell ref="C61:G61"/>
    <mergeCell ref="C60:G60"/>
    <mergeCell ref="C59:G59"/>
    <mergeCell ref="C58:G58"/>
    <mergeCell ref="C57:G57"/>
    <mergeCell ref="B56:G56"/>
    <mergeCell ref="B48:B53"/>
    <mergeCell ref="C53:E53"/>
    <mergeCell ref="B1:J1"/>
    <mergeCell ref="B2:J2"/>
    <mergeCell ref="B3:J3"/>
    <mergeCell ref="B4:J4"/>
    <mergeCell ref="B5:J5"/>
    <mergeCell ref="C62:G62"/>
    <mergeCell ref="B6:J6"/>
    <mergeCell ref="C20:E20"/>
    <mergeCell ref="C33:E33"/>
    <mergeCell ref="B8:B20"/>
    <mergeCell ref="B38:B41"/>
    <mergeCell ref="C41:E41"/>
    <mergeCell ref="C24:E24"/>
    <mergeCell ref="B27:B29"/>
    <mergeCell ref="B30:J30"/>
    <mergeCell ref="C29:E29"/>
    <mergeCell ref="B23:B24"/>
    <mergeCell ref="B32:B33"/>
    <mergeCell ref="C34:E34"/>
    <mergeCell ref="B37:J37"/>
    <mergeCell ref="H68:I68"/>
    <mergeCell ref="C68:G68"/>
    <mergeCell ref="B66:G66"/>
    <mergeCell ref="C65:G65"/>
    <mergeCell ref="C64:G64"/>
  </mergeCells>
  <pageMargins left="0.25" right="0.25" top="0.75" bottom="0.75" header="0.3" footer="0.3"/>
  <pageSetup scale="31" orientation="landscape" horizontalDpi="1200" verticalDpi="1200" r:id="rId1"/>
  <ignoredErrors>
    <ignoredError sqref="I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8D2F-B268-462E-839F-A805F9C33A47}">
  <dimension ref="C2:F15"/>
  <sheetViews>
    <sheetView topLeftCell="A2" workbookViewId="0">
      <selection activeCell="D24" sqref="D24"/>
    </sheetView>
  </sheetViews>
  <sheetFormatPr defaultRowHeight="15" x14ac:dyDescent="0.25"/>
  <cols>
    <col min="3" max="3" width="22.85546875" customWidth="1"/>
    <col min="4" max="4" width="80.7109375" customWidth="1"/>
    <col min="5" max="5" width="16.7109375" customWidth="1"/>
    <col min="6" max="6" width="18.28515625" customWidth="1"/>
    <col min="7" max="9" width="9.140625" customWidth="1"/>
  </cols>
  <sheetData>
    <row r="2" spans="3:6" ht="15.75" thickBot="1" x14ac:dyDescent="0.3"/>
    <row r="3" spans="3:6" s="136" customFormat="1" ht="30.75" thickBot="1" x14ac:dyDescent="0.3">
      <c r="C3" s="235" t="s">
        <v>64</v>
      </c>
      <c r="D3" s="236"/>
      <c r="E3" s="137" t="s">
        <v>65</v>
      </c>
      <c r="F3" s="137" t="s">
        <v>66</v>
      </c>
    </row>
    <row r="4" spans="3:6" x14ac:dyDescent="0.25">
      <c r="C4" s="244"/>
      <c r="D4" s="142" t="s">
        <v>9</v>
      </c>
      <c r="E4" s="143">
        <v>58878.728999999999</v>
      </c>
      <c r="F4" s="143">
        <v>39421.546749999994</v>
      </c>
    </row>
    <row r="5" spans="3:6" x14ac:dyDescent="0.25">
      <c r="C5" s="245"/>
      <c r="D5" s="144" t="s">
        <v>26</v>
      </c>
      <c r="E5" s="145">
        <v>11332.905599999998</v>
      </c>
      <c r="F5" s="145">
        <v>11332.905599999998</v>
      </c>
    </row>
    <row r="6" spans="3:6" x14ac:dyDescent="0.25">
      <c r="C6" s="245"/>
      <c r="D6" s="144" t="s">
        <v>31</v>
      </c>
      <c r="E6" s="145">
        <v>74308.218208000006</v>
      </c>
      <c r="F6" s="145">
        <v>74308.218208000006</v>
      </c>
    </row>
    <row r="7" spans="3:6" ht="15.75" thickBot="1" x14ac:dyDescent="0.3">
      <c r="C7" s="245"/>
      <c r="D7" s="146" t="s">
        <v>39</v>
      </c>
      <c r="E7" s="147">
        <v>7174.450499999999</v>
      </c>
      <c r="F7" s="147">
        <v>0</v>
      </c>
    </row>
    <row r="8" spans="3:6" ht="34.5" customHeight="1" thickBot="1" x14ac:dyDescent="0.3">
      <c r="C8" s="245"/>
      <c r="D8" s="141" t="s">
        <v>1</v>
      </c>
      <c r="E8" s="140">
        <v>151694.303308</v>
      </c>
      <c r="F8" s="140">
        <v>125062.670558</v>
      </c>
    </row>
    <row r="9" spans="3:6" x14ac:dyDescent="0.25">
      <c r="C9" s="245"/>
      <c r="D9" s="148" t="s">
        <v>45</v>
      </c>
      <c r="E9" s="149">
        <v>5023.8562499999998</v>
      </c>
      <c r="F9" s="149">
        <v>1180</v>
      </c>
    </row>
    <row r="10" spans="3:6" x14ac:dyDescent="0.25">
      <c r="C10" s="245"/>
      <c r="D10" s="150" t="s">
        <v>52</v>
      </c>
      <c r="E10" s="145">
        <v>8071.875</v>
      </c>
      <c r="F10" s="145">
        <v>8071.875</v>
      </c>
    </row>
    <row r="11" spans="3:6" ht="15.75" thickBot="1" x14ac:dyDescent="0.3">
      <c r="C11" s="245"/>
      <c r="D11" s="151" t="s">
        <v>55</v>
      </c>
      <c r="E11" s="147">
        <v>3824.1971250000001</v>
      </c>
      <c r="F11" s="147">
        <v>3451.4250000000002</v>
      </c>
    </row>
    <row r="12" spans="3:6" ht="15.75" thickBot="1" x14ac:dyDescent="0.3">
      <c r="C12" s="246"/>
      <c r="D12" s="139" t="s">
        <v>63</v>
      </c>
      <c r="E12" s="140">
        <v>16919.928375</v>
      </c>
      <c r="F12" s="140">
        <v>12703.3</v>
      </c>
    </row>
    <row r="13" spans="3:6" ht="27" customHeight="1" thickBot="1" x14ac:dyDescent="0.3">
      <c r="C13" s="237" t="s">
        <v>67</v>
      </c>
      <c r="D13" s="238"/>
      <c r="E13" s="138">
        <v>168614.23168299999</v>
      </c>
      <c r="F13" s="138">
        <v>137765.970558</v>
      </c>
    </row>
    <row r="14" spans="3:6" ht="15.75" thickBot="1" x14ac:dyDescent="0.3">
      <c r="C14" s="241"/>
      <c r="D14" s="242"/>
      <c r="E14" s="242"/>
      <c r="F14" s="243"/>
    </row>
    <row r="15" spans="3:6" ht="15.75" thickBot="1" x14ac:dyDescent="0.3">
      <c r="C15" s="239" t="s">
        <v>68</v>
      </c>
      <c r="D15" s="240"/>
      <c r="E15" s="233">
        <v>50000</v>
      </c>
      <c r="F15" s="234"/>
    </row>
  </sheetData>
  <mergeCells count="6">
    <mergeCell ref="E15:F15"/>
    <mergeCell ref="C3:D3"/>
    <mergeCell ref="C13:D13"/>
    <mergeCell ref="C15:D15"/>
    <mergeCell ref="C14:F14"/>
    <mergeCell ref="C4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TOO Cost statement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GTAdmin</dc:creator>
  <cp:keywords/>
  <dc:description/>
  <cp:lastModifiedBy>Steven Walsh</cp:lastModifiedBy>
  <cp:revision/>
  <cp:lastPrinted>2023-12-12T22:41:04Z</cp:lastPrinted>
  <dcterms:created xsi:type="dcterms:W3CDTF">2022-01-26T19:38:46Z</dcterms:created>
  <dcterms:modified xsi:type="dcterms:W3CDTF">2023-12-14T23:51:18Z</dcterms:modified>
  <cp:category/>
  <cp:contentStatus/>
</cp:coreProperties>
</file>