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alsh\Desktop\WOLF YMEP Report\Drafts\Appendicies\"/>
    </mc:Choice>
  </mc:AlternateContent>
  <xr:revisionPtr revIDLastSave="0" documentId="8_{7B00D98D-CA2D-43EF-8CEE-642CB2C8CCDE}" xr6:coauthVersionLast="47" xr6:coauthVersionMax="47" xr10:uidLastSave="{00000000-0000-0000-0000-000000000000}"/>
  <bookViews>
    <workbookView xWindow="-13830" yWindow="-16380" windowWidth="29040" windowHeight="15840" xr2:uid="{D21AD925-4100-40AD-BFF9-2C2CAC635A5E}"/>
  </bookViews>
  <sheets>
    <sheet name="TOO Cost statement" sheetId="2" r:id="rId1"/>
    <sheet name="Sheet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26" i="2"/>
  <c r="H22" i="2"/>
  <c r="H17" i="2" l="1"/>
  <c r="H16" i="2"/>
  <c r="H15" i="2"/>
  <c r="H11" i="2"/>
  <c r="H43" i="2" l="1"/>
  <c r="H50" i="2" l="1"/>
  <c r="H38" i="2" l="1"/>
  <c r="C64" i="2"/>
  <c r="C63" i="2"/>
  <c r="C62" i="2"/>
  <c r="C61" i="2"/>
  <c r="C60" i="2"/>
  <c r="C59" i="2"/>
  <c r="C58" i="2"/>
  <c r="C57" i="2"/>
  <c r="C56" i="2"/>
  <c r="H39" i="2"/>
  <c r="H44" i="2"/>
  <c r="H62" i="2" s="1"/>
  <c r="H47" i="2"/>
  <c r="H48" i="2"/>
  <c r="H23" i="2"/>
  <c r="H57" i="2" s="1"/>
  <c r="G31" i="2"/>
  <c r="H31" i="2" s="1"/>
  <c r="H32" i="2" s="1"/>
  <c r="H59" i="2" s="1"/>
  <c r="H18" i="2"/>
  <c r="H13" i="2"/>
  <c r="H14" i="2"/>
  <c r="G44" i="2"/>
  <c r="G49" i="2"/>
  <c r="H49" i="2" s="1"/>
  <c r="G48" i="2"/>
  <c r="F51" i="2" l="1"/>
  <c r="H40" i="2"/>
  <c r="H61" i="2" s="1"/>
  <c r="H28" i="2"/>
  <c r="H58" i="2" s="1"/>
  <c r="G51" i="2"/>
  <c r="H19" i="2"/>
  <c r="H56" i="2" s="1"/>
  <c r="H51" i="2"/>
  <c r="H52" i="2" l="1"/>
  <c r="H64" i="2" s="1"/>
  <c r="H63" i="2"/>
  <c r="H33" i="2"/>
  <c r="H60" i="2" s="1"/>
  <c r="H65" i="2" l="1"/>
  <c r="G40" i="2" l="1"/>
  <c r="G32" i="2" l="1"/>
  <c r="G52" i="2"/>
</calcChain>
</file>

<file path=xl/sharedStrings.xml><?xml version="1.0" encoding="utf-8"?>
<sst xmlns="http://schemas.openxmlformats.org/spreadsheetml/2006/main" count="160" uniqueCount="102">
  <si>
    <t>White Gold Corp</t>
  </si>
  <si>
    <t>Item</t>
  </si>
  <si>
    <t>Description</t>
  </si>
  <si>
    <t>Invoice #</t>
  </si>
  <si>
    <t>Amount</t>
  </si>
  <si>
    <t>Total Assays and Shipping</t>
  </si>
  <si>
    <t>setouts pickups</t>
  </si>
  <si>
    <t>Fuel</t>
  </si>
  <si>
    <t>Helicopter time</t>
  </si>
  <si>
    <t>1.2: Assays  and Shipping</t>
  </si>
  <si>
    <t>2.2: Helicopter</t>
  </si>
  <si>
    <t>2.1: Pad Building Labour</t>
  </si>
  <si>
    <t>Total 2023 Toonie Expenditure</t>
  </si>
  <si>
    <t xml:space="preserve">Vehicle Km's </t>
  </si>
  <si>
    <t>Travel and Lodging</t>
  </si>
  <si>
    <t>Equipment Rental</t>
  </si>
  <si>
    <t>2x Fly Basket and tools - $225/day per basket, 14 days</t>
  </si>
  <si>
    <t>Contractor Work Vehicle Mobilization to site - 335Km's at $0.62/day</t>
  </si>
  <si>
    <t>Employee man-days</t>
  </si>
  <si>
    <t>Employee travel Per Diem</t>
  </si>
  <si>
    <t>4 guys, 5 days each, total quantity 20 days, $75/day</t>
  </si>
  <si>
    <t>2.0:Pad Building - Total</t>
  </si>
  <si>
    <t>Tintina Flight to Thistle Camp</t>
  </si>
  <si>
    <t>Supervan charter Whitehorse-Thistle-Whitehorse - 50% applied to TOO</t>
  </si>
  <si>
    <t>10-23Jun2023WG</t>
  </si>
  <si>
    <t>Service Provider</t>
  </si>
  <si>
    <t>Great Slave Helicopters</t>
  </si>
  <si>
    <t>Drill Production</t>
  </si>
  <si>
    <t>Groundtruth Drilling</t>
  </si>
  <si>
    <t>Consumables</t>
  </si>
  <si>
    <t>Crew Travel</t>
  </si>
  <si>
    <t>INV 1148</t>
  </si>
  <si>
    <t xml:space="preserve">24 hours at 80$/hr </t>
  </si>
  <si>
    <t>Groundtruth exploration</t>
  </si>
  <si>
    <t>Meterage Rate</t>
  </si>
  <si>
    <t>1.1: RAB Drilling Production</t>
  </si>
  <si>
    <t>INV 1148, INV1152</t>
  </si>
  <si>
    <t>Field Portable XRF</t>
  </si>
  <si>
    <t>Optical Televiewer</t>
  </si>
  <si>
    <t>Groundtruth Exploration</t>
  </si>
  <si>
    <t>INV11055R</t>
  </si>
  <si>
    <t>Drill Geologist</t>
  </si>
  <si>
    <t>Service Providers: Groundtruth Exploration, Groundtruth Drilling, WGO, Great Slave Helicopters, Minconsult Exploration Services, BV Labs Vancouver</t>
  </si>
  <si>
    <t>drill consumables(drill bits), drill fuel</t>
  </si>
  <si>
    <t>INV 1148, INV11094</t>
  </si>
  <si>
    <t>AFD Petroleum Limited</t>
  </si>
  <si>
    <t>Assay costs - RAB Drilling</t>
  </si>
  <si>
    <t xml:space="preserve">Bureau Veritas </t>
  </si>
  <si>
    <t>1.0: RAB Drilling - Total</t>
  </si>
  <si>
    <t>1.4: Crew Travel</t>
  </si>
  <si>
    <t>IN010142, Sales invoice_SI00023845</t>
  </si>
  <si>
    <t>Total Invoiced to WGO across all programs</t>
  </si>
  <si>
    <t>PropertyAmount</t>
  </si>
  <si>
    <t>2.0 Pad Building -5% of Total Invoiced Pad Building Expenditures applied to Toonie (except for Heli)</t>
  </si>
  <si>
    <t>Minconsult Exploration Services</t>
  </si>
  <si>
    <t>1.0: RAB Drilling - Groundtruth Drilling, GroundTruth Exploration, Bureau Veritas, Great Slave Helicopters</t>
  </si>
  <si>
    <t>1.3: Helicopter, Transport, fuel</t>
  </si>
  <si>
    <t>2023 Toonie Expenditure Summary</t>
  </si>
  <si>
    <t>Total RAB Drilling Production</t>
  </si>
  <si>
    <t>2.3: Crew Travel/Mobilization</t>
  </si>
  <si>
    <t>Total Helicopter and Transport for RAB Drilling</t>
  </si>
  <si>
    <t>Total RAB Drill Crew Travel to Whitehorse</t>
  </si>
  <si>
    <t>Total Pad Building Labour</t>
  </si>
  <si>
    <t>Total Helicopter support for Pad Building</t>
  </si>
  <si>
    <t>Total Mobilization/Travel for Pad Building Crew</t>
  </si>
  <si>
    <t>YMEP Rate</t>
  </si>
  <si>
    <t>350/day</t>
  </si>
  <si>
    <t>110/day</t>
  </si>
  <si>
    <t>Air travel within Yukon - 100%</t>
  </si>
  <si>
    <t>$0.6/km</t>
  </si>
  <si>
    <t>Hotel expenses by contractor fory travel to Whitehorse</t>
  </si>
  <si>
    <t>0%? Outside of yukon</t>
  </si>
  <si>
    <t>100/day - Daily Field epense Category?</t>
  </si>
  <si>
    <t>Pad building labour -crew on site 14 days -  5% of total invoiced hourly expenditures of 89,392.5 applied to TOO</t>
  </si>
  <si>
    <t>$300/day (5% of 74 man-days)</t>
  </si>
  <si>
    <t>TOO Project Total</t>
  </si>
  <si>
    <t xml:space="preserve">IN009799, IN009901, </t>
  </si>
  <si>
    <t>flight times= 1.6hrs+2.5hrs at $1875/hr</t>
  </si>
  <si>
    <t>Bulk fuel purchase on invoice_SI00023845 on June 06th, 2023 was used to estimate fuel cost for the entire drilling program at an average burn rate of 1.25 barrels/hr or 200 L/hr.</t>
  </si>
  <si>
    <t>PROJECT: WOLF</t>
  </si>
  <si>
    <t>Appendix IV- WOLF 2023 Project Costs</t>
  </si>
  <si>
    <t>Timeline: July 2th - July 13th, 2023</t>
  </si>
  <si>
    <t>Weather Rate</t>
  </si>
  <si>
    <t>Rig Rate charged per day.  8.8 days at 3500/day</t>
  </si>
  <si>
    <t>0.5 days charged at $2625/day.</t>
  </si>
  <si>
    <t>300m at $30/meter</t>
  </si>
  <si>
    <t>Sampling Technician</t>
  </si>
  <si>
    <t>11 day units at $600/day</t>
  </si>
  <si>
    <t>Drillcore Sampling</t>
  </si>
  <si>
    <t>300m at $5/m</t>
  </si>
  <si>
    <t>Mobilization</t>
  </si>
  <si>
    <t>Charged at 350/day for 9 days</t>
  </si>
  <si>
    <t>Charged at 450/day for 9 days</t>
  </si>
  <si>
    <t>Technician - 350/day</t>
  </si>
  <si>
    <t>Drillcore logging, xrf data production, charged at 850/day for 10.75 days</t>
  </si>
  <si>
    <t xml:space="preserve">Hourly per worker when not drilling  -  36 hours at 80$/hr </t>
  </si>
  <si>
    <t>Drill moves (Setup/Teardown)</t>
  </si>
  <si>
    <t>VANI472408, VANI472787, VANI473243, VANI473451</t>
  </si>
  <si>
    <t>Lab assays epenses for  34+60+49+64 at $54.31/sample</t>
  </si>
  <si>
    <t>IN009799, IN009901, IN010024, IN010079</t>
  </si>
  <si>
    <t>Transportation of drill crew from Thistle Camp to WOLF property. Drill support, Drill moves charged at $1875/hr. 1.4hrs + 2.3hrs + 24.8hrs + 10.6hrs</t>
  </si>
  <si>
    <t>travel for crew to Whitehorse and back 50% of total costs applied to WOLF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</si>
</sst>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164" formatCode="\$#,##0.00"/>
    <numFmt numFmtId="165" formatCode="&quot;$ &quot;#,##0.00"/>
  </numFmts>
  <fonts count="29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sz val="11"/>
      <color rgb="FF000000"/>
      <name val="Times New Roman"/>
      <family val="1"/>
      <charset val="1"/>
    </font>
    <font>
      <b/>
      <sz val="14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b/>
      <sz val="26"/>
      <name val="Calibri"/>
      <family val="2"/>
    </font>
    <font>
      <b/>
      <sz val="26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C0C0C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C0C0C0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5" fillId="5" borderId="26" xfId="0" applyFont="1" applyFill="1" applyBorder="1" applyAlignment="1">
      <alignment horizontal="center" vertical="center" wrapText="1"/>
    </xf>
    <xf numFmtId="10" fontId="0" fillId="0" borderId="0" xfId="0" applyNumberFormat="1"/>
    <xf numFmtId="0" fontId="5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top" wrapText="1"/>
    </xf>
    <xf numFmtId="165" fontId="4" fillId="9" borderId="2" xfId="0" applyNumberFormat="1" applyFont="1" applyFill="1" applyBorder="1" applyAlignment="1">
      <alignment horizontal="center" vertical="top" shrinkToFit="1"/>
    </xf>
    <xf numFmtId="0" fontId="3" fillId="0" borderId="26" xfId="0" applyFont="1" applyBorder="1" applyAlignment="1">
      <alignment horizontal="center" vertical="center" wrapText="1"/>
    </xf>
    <xf numFmtId="10" fontId="4" fillId="9" borderId="3" xfId="0" applyNumberFormat="1" applyFont="1" applyFill="1" applyBorder="1" applyAlignment="1">
      <alignment horizontal="center" vertical="top" shrinkToFit="1"/>
    </xf>
    <xf numFmtId="0" fontId="2" fillId="0" borderId="0" xfId="0" applyFont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vertical="center" wrapText="1"/>
    </xf>
    <xf numFmtId="0" fontId="3" fillId="7" borderId="41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top" shrinkToFit="1"/>
    </xf>
    <xf numFmtId="0" fontId="7" fillId="2" borderId="3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4" fillId="0" borderId="0" xfId="0" applyFont="1"/>
    <xf numFmtId="42" fontId="14" fillId="0" borderId="0" xfId="0" applyNumberFormat="1" applyFont="1" applyAlignment="1">
      <alignment horizontal="center" vertical="top"/>
    </xf>
    <xf numFmtId="4" fontId="6" fillId="0" borderId="9" xfId="0" applyNumberFormat="1" applyFont="1" applyBorder="1" applyAlignment="1">
      <alignment horizontal="center" vertical="center"/>
    </xf>
    <xf numFmtId="4" fontId="6" fillId="13" borderId="9" xfId="0" applyNumberFormat="1" applyFont="1" applyFill="1" applyBorder="1" applyAlignment="1">
      <alignment horizontal="center"/>
    </xf>
    <xf numFmtId="4" fontId="6" fillId="0" borderId="10" xfId="0" applyNumberFormat="1" applyFont="1" applyBorder="1" applyAlignment="1">
      <alignment horizontal="center" vertical="center"/>
    </xf>
    <xf numFmtId="4" fontId="6" fillId="13" borderId="10" xfId="0" applyNumberFormat="1" applyFont="1" applyFill="1" applyBorder="1" applyAlignment="1">
      <alignment horizontal="center"/>
    </xf>
    <xf numFmtId="4" fontId="11" fillId="0" borderId="20" xfId="0" applyNumberFormat="1" applyFont="1" applyBorder="1" applyAlignment="1">
      <alignment horizontal="center" vertical="center"/>
    </xf>
    <xf numFmtId="4" fontId="12" fillId="13" borderId="10" xfId="0" applyNumberFormat="1" applyFont="1" applyFill="1" applyBorder="1" applyAlignment="1">
      <alignment vertical="center"/>
    </xf>
    <xf numFmtId="4" fontId="12" fillId="13" borderId="20" xfId="0" applyNumberFormat="1" applyFont="1" applyFill="1" applyBorder="1" applyAlignment="1">
      <alignment vertical="center"/>
    </xf>
    <xf numFmtId="4" fontId="13" fillId="7" borderId="41" xfId="0" applyNumberFormat="1" applyFont="1" applyFill="1" applyBorder="1" applyAlignment="1">
      <alignment horizontal="center" vertical="center"/>
    </xf>
    <xf numFmtId="0" fontId="8" fillId="0" borderId="0" xfId="0" applyFont="1"/>
    <xf numFmtId="0" fontId="19" fillId="0" borderId="47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165" fontId="20" fillId="0" borderId="28" xfId="0" applyNumberFormat="1" applyFont="1" applyBorder="1" applyAlignment="1">
      <alignment horizontal="left" vertical="center" shrinkToFit="1"/>
    </xf>
    <xf numFmtId="0" fontId="19" fillId="0" borderId="29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left" vertical="top" wrapText="1"/>
    </xf>
    <xf numFmtId="0" fontId="15" fillId="0" borderId="53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56" xfId="0" applyFont="1" applyBorder="1" applyAlignment="1">
      <alignment horizontal="center" vertical="top" wrapText="1"/>
    </xf>
    <xf numFmtId="0" fontId="15" fillId="0" borderId="54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9" fontId="15" fillId="0" borderId="32" xfId="0" applyNumberFormat="1" applyFont="1" applyBorder="1" applyAlignment="1">
      <alignment horizontal="left" vertical="top" wrapText="1"/>
    </xf>
    <xf numFmtId="0" fontId="0" fillId="0" borderId="26" xfId="0" applyBorder="1" applyAlignment="1">
      <alignment horizontal="center"/>
    </xf>
    <xf numFmtId="0" fontId="10" fillId="7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23" fillId="7" borderId="31" xfId="0" applyFont="1" applyFill="1" applyBorder="1" applyAlignment="1">
      <alignment vertical="center"/>
    </xf>
    <xf numFmtId="0" fontId="24" fillId="3" borderId="49" xfId="0" applyFont="1" applyFill="1" applyBorder="1" applyAlignment="1">
      <alignment horizontal="center" vertical="top" wrapText="1"/>
    </xf>
    <xf numFmtId="0" fontId="16" fillId="3" borderId="42" xfId="0" applyFont="1" applyFill="1" applyBorder="1" applyAlignment="1">
      <alignment horizontal="center" vertical="top" wrapText="1"/>
    </xf>
    <xf numFmtId="0" fontId="16" fillId="3" borderId="50" xfId="0" applyFont="1" applyFill="1" applyBorder="1" applyAlignment="1">
      <alignment horizontal="center" vertical="top" wrapText="1"/>
    </xf>
    <xf numFmtId="0" fontId="15" fillId="0" borderId="47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9" fontId="15" fillId="0" borderId="28" xfId="0" applyNumberFormat="1" applyFont="1" applyBorder="1" applyAlignment="1">
      <alignment horizontal="left" vertical="center" wrapText="1"/>
    </xf>
    <xf numFmtId="165" fontId="21" fillId="0" borderId="28" xfId="0" applyNumberFormat="1" applyFont="1" applyBorder="1" applyAlignment="1">
      <alignment horizontal="left" vertical="center" shrinkToFit="1"/>
    </xf>
    <xf numFmtId="0" fontId="15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left" vertical="top" wrapText="1"/>
    </xf>
    <xf numFmtId="9" fontId="15" fillId="0" borderId="53" xfId="0" applyNumberFormat="1" applyFont="1" applyBorder="1" applyAlignment="1">
      <alignment horizontal="left" vertical="top" wrapText="1"/>
    </xf>
    <xf numFmtId="164" fontId="15" fillId="0" borderId="53" xfId="0" applyNumberFormat="1" applyFont="1" applyBorder="1" applyAlignment="1">
      <alignment horizontal="left" vertical="top" wrapText="1"/>
    </xf>
    <xf numFmtId="0" fontId="15" fillId="0" borderId="50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left" vertical="top" wrapText="1"/>
    </xf>
    <xf numFmtId="164" fontId="15" fillId="0" borderId="15" xfId="0" applyNumberFormat="1" applyFont="1" applyBorder="1" applyAlignment="1">
      <alignment horizontal="left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9" fontId="15" fillId="0" borderId="12" xfId="0" applyNumberFormat="1" applyFont="1" applyBorder="1" applyAlignment="1">
      <alignment horizontal="left" vertical="top" wrapText="1"/>
    </xf>
    <xf numFmtId="164" fontId="15" fillId="0" borderId="12" xfId="0" applyNumberFormat="1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9" fontId="15" fillId="0" borderId="18" xfId="0" applyNumberFormat="1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164" fontId="15" fillId="0" borderId="32" xfId="0" applyNumberFormat="1" applyFont="1" applyBorder="1" applyAlignment="1">
      <alignment horizontal="left" vertical="top" wrapText="1"/>
    </xf>
    <xf numFmtId="0" fontId="16" fillId="12" borderId="27" xfId="0" applyFont="1" applyFill="1" applyBorder="1" applyAlignment="1">
      <alignment horizontal="center" vertical="top" wrapText="1"/>
    </xf>
    <xf numFmtId="165" fontId="25" fillId="12" borderId="28" xfId="0" applyNumberFormat="1" applyFont="1" applyFill="1" applyBorder="1" applyAlignment="1">
      <alignment horizontal="center" vertical="top" shrinkToFit="1"/>
    </xf>
    <xf numFmtId="165" fontId="25" fillId="12" borderId="39" xfId="0" applyNumberFormat="1" applyFont="1" applyFill="1" applyBorder="1" applyAlignment="1">
      <alignment horizontal="center" vertical="top" shrinkToFit="1"/>
    </xf>
    <xf numFmtId="0" fontId="18" fillId="11" borderId="41" xfId="0" applyFont="1" applyFill="1" applyBorder="1" applyAlignment="1">
      <alignment horizont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165" fontId="21" fillId="0" borderId="12" xfId="0" applyNumberFormat="1" applyFont="1" applyBorder="1" applyAlignment="1">
      <alignment horizontal="left" vertical="center" shrinkToFit="1"/>
    </xf>
    <xf numFmtId="1" fontId="15" fillId="0" borderId="13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9" fontId="15" fillId="0" borderId="25" xfId="0" applyNumberFormat="1" applyFont="1" applyBorder="1" applyAlignment="1">
      <alignment horizontal="left" vertical="center" wrapText="1"/>
    </xf>
    <xf numFmtId="165" fontId="21" fillId="0" borderId="25" xfId="0" applyNumberFormat="1" applyFont="1" applyBorder="1" applyAlignment="1">
      <alignment horizontal="left" vertical="center" shrinkToFit="1"/>
    </xf>
    <xf numFmtId="1" fontId="15" fillId="0" borderId="46" xfId="0" applyNumberFormat="1" applyFont="1" applyBorder="1" applyAlignment="1">
      <alignment horizontal="center" vertical="center" wrapText="1"/>
    </xf>
    <xf numFmtId="1" fontId="15" fillId="0" borderId="29" xfId="0" applyNumberFormat="1" applyFont="1" applyBorder="1" applyAlignment="1">
      <alignment horizontal="center" vertical="center" wrapText="1"/>
    </xf>
    <xf numFmtId="0" fontId="16" fillId="12" borderId="27" xfId="0" applyFont="1" applyFill="1" applyBorder="1" applyAlignment="1">
      <alignment horizontal="center" vertical="center" wrapText="1"/>
    </xf>
    <xf numFmtId="165" fontId="25" fillId="12" borderId="28" xfId="0" applyNumberFormat="1" applyFont="1" applyFill="1" applyBorder="1" applyAlignment="1">
      <alignment horizontal="center" vertical="center" shrinkToFit="1"/>
    </xf>
    <xf numFmtId="0" fontId="15" fillId="11" borderId="29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11" borderId="27" xfId="0" applyFont="1" applyFill="1" applyBorder="1" applyAlignment="1">
      <alignment horizontal="center" vertical="center" wrapText="1"/>
    </xf>
    <xf numFmtId="165" fontId="21" fillId="11" borderId="28" xfId="0" applyNumberFormat="1" applyFont="1" applyFill="1" applyBorder="1" applyAlignment="1">
      <alignment horizontal="left" vertical="center" shrinkToFit="1"/>
    </xf>
    <xf numFmtId="165" fontId="25" fillId="11" borderId="28" xfId="0" applyNumberFormat="1" applyFont="1" applyFill="1" applyBorder="1" applyAlignment="1">
      <alignment horizontal="left" vertical="center" shrinkToFit="1"/>
    </xf>
    <xf numFmtId="1" fontId="15" fillId="11" borderId="29" xfId="0" applyNumberFormat="1" applyFont="1" applyFill="1" applyBorder="1" applyAlignment="1">
      <alignment horizontal="center" vertical="center" wrapText="1"/>
    </xf>
    <xf numFmtId="0" fontId="26" fillId="3" borderId="48" xfId="0" applyFont="1" applyFill="1" applyBorder="1" applyAlignment="1">
      <alignment horizontal="center" vertical="top" wrapText="1"/>
    </xf>
    <xf numFmtId="0" fontId="26" fillId="3" borderId="49" xfId="0" applyFont="1" applyFill="1" applyBorder="1" applyAlignment="1">
      <alignment horizontal="center" vertical="top" wrapText="1"/>
    </xf>
    <xf numFmtId="0" fontId="27" fillId="3" borderId="42" xfId="0" applyFont="1" applyFill="1" applyBorder="1" applyAlignment="1">
      <alignment horizontal="center" vertical="top" wrapText="1"/>
    </xf>
    <xf numFmtId="0" fontId="27" fillId="3" borderId="50" xfId="0" applyFont="1" applyFill="1" applyBorder="1" applyAlignment="1">
      <alignment horizontal="center" vertical="top" wrapText="1"/>
    </xf>
    <xf numFmtId="0" fontId="15" fillId="0" borderId="51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165" fontId="21" fillId="0" borderId="53" xfId="0" applyNumberFormat="1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165" fontId="21" fillId="0" borderId="32" xfId="0" applyNumberFormat="1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9" fontId="15" fillId="0" borderId="28" xfId="0" applyNumberFormat="1" applyFont="1" applyBorder="1" applyAlignment="1">
      <alignment horizontal="center" vertical="center" wrapText="1"/>
    </xf>
    <xf numFmtId="165" fontId="21" fillId="0" borderId="28" xfId="0" applyNumberFormat="1" applyFont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wrapText="1"/>
    </xf>
    <xf numFmtId="0" fontId="24" fillId="3" borderId="49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6" fillId="12" borderId="38" xfId="0" applyFont="1" applyFill="1" applyBorder="1" applyAlignment="1">
      <alignment horizontal="center" vertical="center" wrapText="1"/>
    </xf>
    <xf numFmtId="165" fontId="25" fillId="12" borderId="23" xfId="0" applyNumberFormat="1" applyFont="1" applyFill="1" applyBorder="1" applyAlignment="1">
      <alignment horizontal="center" vertical="center" shrinkToFit="1"/>
    </xf>
    <xf numFmtId="0" fontId="15" fillId="11" borderId="24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5" fontId="21" fillId="0" borderId="15" xfId="0" applyNumberFormat="1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wrapText="1"/>
    </xf>
    <xf numFmtId="9" fontId="15" fillId="0" borderId="32" xfId="0" applyNumberFormat="1" applyFont="1" applyBorder="1" applyAlignment="1">
      <alignment horizontal="center" vertical="center" wrapText="1"/>
    </xf>
    <xf numFmtId="165" fontId="16" fillId="12" borderId="38" xfId="0" applyNumberFormat="1" applyFont="1" applyFill="1" applyBorder="1" applyAlignment="1">
      <alignment horizontal="center" vertical="center" wrapText="1"/>
    </xf>
    <xf numFmtId="165" fontId="21" fillId="12" borderId="23" xfId="0" applyNumberFormat="1" applyFont="1" applyFill="1" applyBorder="1" applyAlignment="1">
      <alignment horizontal="center" vertical="center" shrinkToFit="1"/>
    </xf>
    <xf numFmtId="0" fontId="16" fillId="6" borderId="30" xfId="0" applyFont="1" applyFill="1" applyBorder="1" applyAlignment="1">
      <alignment horizontal="center" vertical="center" wrapText="1"/>
    </xf>
    <xf numFmtId="165" fontId="21" fillId="6" borderId="26" xfId="0" applyNumberFormat="1" applyFont="1" applyFill="1" applyBorder="1" applyAlignment="1">
      <alignment horizontal="center" vertical="center" shrinkToFit="1"/>
    </xf>
    <xf numFmtId="165" fontId="25" fillId="6" borderId="26" xfId="0" applyNumberFormat="1" applyFont="1" applyFill="1" applyBorder="1" applyAlignment="1">
      <alignment horizontal="center" vertical="center" shrinkToFit="1"/>
    </xf>
    <xf numFmtId="165" fontId="25" fillId="6" borderId="31" xfId="0" applyNumberFormat="1" applyFont="1" applyFill="1" applyBorder="1" applyAlignment="1">
      <alignment horizontal="center" vertical="center" shrinkToFit="1"/>
    </xf>
    <xf numFmtId="0" fontId="27" fillId="3" borderId="48" xfId="0" applyFont="1" applyFill="1" applyBorder="1" applyAlignment="1">
      <alignment horizontal="center" vertical="top" wrapText="1"/>
    </xf>
    <xf numFmtId="0" fontId="27" fillId="3" borderId="49" xfId="0" applyFont="1" applyFill="1" applyBorder="1" applyAlignment="1">
      <alignment horizontal="center" vertical="top" wrapText="1"/>
    </xf>
    <xf numFmtId="0" fontId="19" fillId="7" borderId="50" xfId="0" applyFont="1" applyFill="1" applyBorder="1" applyAlignment="1">
      <alignment horizontal="center" vertical="top" wrapText="1"/>
    </xf>
    <xf numFmtId="0" fontId="27" fillId="12" borderId="38" xfId="0" applyFont="1" applyFill="1" applyBorder="1" applyAlignment="1">
      <alignment horizontal="center" vertical="top" wrapText="1"/>
    </xf>
    <xf numFmtId="165" fontId="28" fillId="12" borderId="23" xfId="0" applyNumberFormat="1" applyFont="1" applyFill="1" applyBorder="1" applyAlignment="1">
      <alignment horizontal="center" vertical="top" shrinkToFit="1"/>
    </xf>
    <xf numFmtId="0" fontId="19" fillId="11" borderId="24" xfId="0" applyFont="1" applyFill="1" applyBorder="1" applyAlignment="1">
      <alignment horizontal="center" vertical="top" wrapText="1"/>
    </xf>
    <xf numFmtId="0" fontId="27" fillId="6" borderId="30" xfId="0" applyFont="1" applyFill="1" applyBorder="1" applyAlignment="1">
      <alignment horizontal="center" vertical="top" wrapText="1"/>
    </xf>
    <xf numFmtId="165" fontId="28" fillId="6" borderId="26" xfId="0" applyNumberFormat="1" applyFont="1" applyFill="1" applyBorder="1" applyAlignment="1">
      <alignment horizontal="center" vertical="top" shrinkToFit="1"/>
    </xf>
    <xf numFmtId="165" fontId="28" fillId="6" borderId="41" xfId="0" applyNumberFormat="1" applyFont="1" applyFill="1" applyBorder="1" applyAlignment="1">
      <alignment horizontal="center" vertical="top" shrinkToFi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22" fillId="7" borderId="30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2" borderId="38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 wrapText="1"/>
    </xf>
    <xf numFmtId="0" fontId="16" fillId="12" borderId="26" xfId="0" applyFont="1" applyFill="1" applyBorder="1" applyAlignment="1">
      <alignment horizontal="center" vertical="top" wrapText="1"/>
    </xf>
    <xf numFmtId="0" fontId="16" fillId="12" borderId="30" xfId="0" applyFont="1" applyFill="1" applyBorder="1" applyAlignment="1">
      <alignment horizontal="center" vertical="top" wrapText="1"/>
    </xf>
    <xf numFmtId="0" fontId="16" fillId="12" borderId="27" xfId="0" applyFont="1" applyFill="1" applyBorder="1" applyAlignment="1">
      <alignment horizontal="center" vertical="top" wrapText="1"/>
    </xf>
    <xf numFmtId="0" fontId="27" fillId="12" borderId="6" xfId="0" applyFont="1" applyFill="1" applyBorder="1" applyAlignment="1">
      <alignment horizontal="center" vertical="top" wrapText="1"/>
    </xf>
    <xf numFmtId="0" fontId="27" fillId="12" borderId="7" xfId="0" applyFont="1" applyFill="1" applyBorder="1" applyAlignment="1">
      <alignment horizontal="center" vertical="top" wrapText="1"/>
    </xf>
    <xf numFmtId="0" fontId="27" fillId="12" borderId="38" xfId="0" applyFont="1" applyFill="1" applyBorder="1" applyAlignment="1">
      <alignment horizontal="center" vertical="top"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6" fillId="12" borderId="26" xfId="0" applyFont="1" applyFill="1" applyBorder="1" applyAlignment="1">
      <alignment horizontal="center" vertical="center" wrapText="1"/>
    </xf>
    <xf numFmtId="0" fontId="16" fillId="12" borderId="30" xfId="0" applyFont="1" applyFill="1" applyBorder="1" applyAlignment="1">
      <alignment horizontal="center" vertical="center" wrapText="1"/>
    </xf>
    <xf numFmtId="0" fontId="16" fillId="12" borderId="2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/>
    </xf>
    <xf numFmtId="0" fontId="16" fillId="11" borderId="30" xfId="0" applyFont="1" applyFill="1" applyBorder="1" applyAlignment="1">
      <alignment horizontal="center" vertical="center" wrapText="1"/>
    </xf>
    <xf numFmtId="0" fontId="16" fillId="11" borderId="27" xfId="0" applyFont="1" applyFill="1" applyBorder="1" applyAlignment="1">
      <alignment horizontal="center" vertical="center" wrapText="1"/>
    </xf>
    <xf numFmtId="0" fontId="27" fillId="6" borderId="30" xfId="0" applyFont="1" applyFill="1" applyBorder="1" applyAlignment="1">
      <alignment horizontal="center" vertical="top" wrapText="1"/>
    </xf>
    <xf numFmtId="0" fontId="15" fillId="0" borderId="5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10</xdr:col>
      <xdr:colOff>304800</xdr:colOff>
      <xdr:row>5</xdr:row>
      <xdr:rowOff>104775</xdr:rowOff>
    </xdr:to>
    <xdr:sp macro="" textlink="">
      <xdr:nvSpPr>
        <xdr:cNvPr id="1025" name="AutoShape 1" descr="Image preview">
          <a:extLst>
            <a:ext uri="{FF2B5EF4-FFF2-40B4-BE49-F238E27FC236}">
              <a16:creationId xmlns:a16="http://schemas.microsoft.com/office/drawing/2014/main" id="{70CA0E9B-C9C9-A13C-C1E7-E8E2D2788679}"/>
            </a:ext>
          </a:extLst>
        </xdr:cNvPr>
        <xdr:cNvSpPr>
          <a:spLocks noChangeAspect="1" noChangeArrowheads="1"/>
        </xdr:cNvSpPr>
      </xdr:nvSpPr>
      <xdr:spPr bwMode="auto">
        <a:xfrm>
          <a:off x="127158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13</xdr:row>
      <xdr:rowOff>96982</xdr:rowOff>
    </xdr:to>
    <xdr:sp macro="" textlink="">
      <xdr:nvSpPr>
        <xdr:cNvPr id="1027" name="AutoShape 3" descr="Image preview">
          <a:extLst>
            <a:ext uri="{FF2B5EF4-FFF2-40B4-BE49-F238E27FC236}">
              <a16:creationId xmlns:a16="http://schemas.microsoft.com/office/drawing/2014/main" id="{DBE7E5CA-579F-F140-132B-F7681A00A0E4}"/>
            </a:ext>
          </a:extLst>
        </xdr:cNvPr>
        <xdr:cNvSpPr>
          <a:spLocks noChangeAspect="1" noChangeArrowheads="1"/>
        </xdr:cNvSpPr>
      </xdr:nvSpPr>
      <xdr:spPr bwMode="auto">
        <a:xfrm>
          <a:off x="1271587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87FC-1CC7-4B76-A2E7-CD994EB950AD}">
  <sheetPr>
    <pageSetUpPr fitToPage="1"/>
  </sheetPr>
  <dimension ref="B1:M74"/>
  <sheetViews>
    <sheetView tabSelected="1" topLeftCell="C1" zoomScale="91" zoomScaleNormal="91" workbookViewId="0">
      <selection activeCell="E31" sqref="E31"/>
    </sheetView>
  </sheetViews>
  <sheetFormatPr defaultRowHeight="15" x14ac:dyDescent="0.25"/>
  <cols>
    <col min="2" max="2" width="29.140625" customWidth="1"/>
    <col min="3" max="3" width="32" bestFit="1" customWidth="1"/>
    <col min="4" max="4" width="34.140625" customWidth="1"/>
    <col min="5" max="5" width="89.140625" customWidth="1"/>
    <col min="6" max="6" width="38.7109375" bestFit="1" customWidth="1"/>
    <col min="7" max="7" width="20.85546875" customWidth="1"/>
    <col min="8" max="8" width="24.5703125" customWidth="1"/>
    <col min="9" max="9" width="34.85546875" customWidth="1"/>
  </cols>
  <sheetData>
    <row r="1" spans="2:13" ht="18.75" x14ac:dyDescent="0.25">
      <c r="B1" s="180" t="s">
        <v>80</v>
      </c>
      <c r="C1" s="181"/>
      <c r="D1" s="181"/>
      <c r="E1" s="181"/>
      <c r="F1" s="181"/>
      <c r="G1" s="181"/>
      <c r="H1" s="181"/>
      <c r="I1" s="182"/>
    </row>
    <row r="2" spans="2:13" x14ac:dyDescent="0.25">
      <c r="B2" s="183" t="s">
        <v>79</v>
      </c>
      <c r="C2" s="184"/>
      <c r="D2" s="184"/>
      <c r="E2" s="184"/>
      <c r="F2" s="184"/>
      <c r="G2" s="184"/>
      <c r="H2" s="184"/>
      <c r="I2" s="185"/>
    </row>
    <row r="3" spans="2:13" x14ac:dyDescent="0.25">
      <c r="B3" s="183" t="s">
        <v>0</v>
      </c>
      <c r="C3" s="184"/>
      <c r="D3" s="184"/>
      <c r="E3" s="184"/>
      <c r="F3" s="184"/>
      <c r="G3" s="184"/>
      <c r="H3" s="184"/>
      <c r="I3" s="185"/>
    </row>
    <row r="4" spans="2:13" x14ac:dyDescent="0.25">
      <c r="B4" s="183" t="s">
        <v>42</v>
      </c>
      <c r="C4" s="184"/>
      <c r="D4" s="184"/>
      <c r="E4" s="184"/>
      <c r="F4" s="184"/>
      <c r="G4" s="184"/>
      <c r="H4" s="184"/>
      <c r="I4" s="185"/>
    </row>
    <row r="5" spans="2:13" ht="15.75" thickBot="1" x14ac:dyDescent="0.3">
      <c r="B5" s="186" t="s">
        <v>81</v>
      </c>
      <c r="C5" s="187"/>
      <c r="D5" s="187"/>
      <c r="E5" s="187"/>
      <c r="F5" s="187"/>
      <c r="G5" s="187"/>
      <c r="H5" s="187"/>
      <c r="I5" s="188"/>
    </row>
    <row r="6" spans="2:13" ht="30" customHeight="1" thickBot="1" x14ac:dyDescent="0.3">
      <c r="B6" s="191" t="s">
        <v>55</v>
      </c>
      <c r="C6" s="192"/>
      <c r="D6" s="192"/>
      <c r="E6" s="192"/>
      <c r="F6" s="192"/>
      <c r="G6" s="192"/>
      <c r="H6" s="192"/>
      <c r="I6" s="193"/>
    </row>
    <row r="7" spans="2:13" ht="16.5" thickBot="1" x14ac:dyDescent="0.3">
      <c r="B7" s="9"/>
      <c r="C7" s="110" t="s">
        <v>1</v>
      </c>
      <c r="D7" s="111" t="s">
        <v>25</v>
      </c>
      <c r="E7" s="112" t="s">
        <v>2</v>
      </c>
      <c r="F7" s="112" t="s">
        <v>65</v>
      </c>
      <c r="G7" s="112"/>
      <c r="H7" s="112" t="s">
        <v>52</v>
      </c>
      <c r="I7" s="113" t="s">
        <v>3</v>
      </c>
    </row>
    <row r="8" spans="2:13" ht="18.75" customHeight="1" x14ac:dyDescent="0.25">
      <c r="B8" s="172" t="s">
        <v>35</v>
      </c>
      <c r="C8" s="35" t="s">
        <v>27</v>
      </c>
      <c r="D8" s="61" t="s">
        <v>28</v>
      </c>
      <c r="E8" s="36" t="s">
        <v>83</v>
      </c>
      <c r="F8" s="62">
        <v>0.75</v>
      </c>
      <c r="G8" s="63"/>
      <c r="H8" s="63">
        <v>30800</v>
      </c>
      <c r="I8" s="64" t="s">
        <v>31</v>
      </c>
    </row>
    <row r="9" spans="2:13" ht="15.75" x14ac:dyDescent="0.25">
      <c r="B9" s="178"/>
      <c r="C9" s="41" t="s">
        <v>82</v>
      </c>
      <c r="D9" s="65" t="s">
        <v>28</v>
      </c>
      <c r="E9" s="42" t="s">
        <v>84</v>
      </c>
      <c r="F9" s="42"/>
      <c r="G9" s="66"/>
      <c r="H9" s="66">
        <v>1312.5</v>
      </c>
      <c r="I9" s="67" t="s">
        <v>31</v>
      </c>
    </row>
    <row r="10" spans="2:13" ht="15.75" x14ac:dyDescent="0.25">
      <c r="B10" s="178"/>
      <c r="C10" s="68" t="s">
        <v>34</v>
      </c>
      <c r="D10" s="69" t="s">
        <v>28</v>
      </c>
      <c r="E10" s="70" t="s">
        <v>85</v>
      </c>
      <c r="F10" s="71">
        <v>0.75</v>
      </c>
      <c r="G10" s="72"/>
      <c r="H10" s="72">
        <v>9000</v>
      </c>
      <c r="I10" s="67" t="s">
        <v>31</v>
      </c>
    </row>
    <row r="11" spans="2:13" ht="15.75" x14ac:dyDescent="0.25">
      <c r="B11" s="178"/>
      <c r="C11" s="68" t="s">
        <v>29</v>
      </c>
      <c r="D11" s="69" t="s">
        <v>28</v>
      </c>
      <c r="E11" s="70" t="s">
        <v>43</v>
      </c>
      <c r="F11" s="71">
        <v>0.75</v>
      </c>
      <c r="G11" s="72"/>
      <c r="H11" s="72">
        <f>(2*(689)+2*(689))+1701.63</f>
        <v>4457.63</v>
      </c>
      <c r="I11" s="67" t="s">
        <v>44</v>
      </c>
    </row>
    <row r="12" spans="2:13" ht="15.75" x14ac:dyDescent="0.25">
      <c r="B12" s="178"/>
      <c r="C12" s="68" t="s">
        <v>86</v>
      </c>
      <c r="D12" s="69" t="s">
        <v>28</v>
      </c>
      <c r="E12" s="70" t="s">
        <v>87</v>
      </c>
      <c r="F12" s="70" t="s">
        <v>66</v>
      </c>
      <c r="G12" s="72"/>
      <c r="H12" s="72">
        <v>6450</v>
      </c>
      <c r="I12" s="67" t="s">
        <v>31</v>
      </c>
    </row>
    <row r="13" spans="2:13" ht="15.75" x14ac:dyDescent="0.25">
      <c r="B13" s="178"/>
      <c r="C13" s="68" t="s">
        <v>88</v>
      </c>
      <c r="D13" s="69" t="s">
        <v>28</v>
      </c>
      <c r="E13" s="70" t="s">
        <v>89</v>
      </c>
      <c r="F13" s="71">
        <v>0.75</v>
      </c>
      <c r="G13" s="72"/>
      <c r="H13" s="72">
        <f>301.7*5</f>
        <v>1508.5</v>
      </c>
      <c r="I13" s="67" t="s">
        <v>31</v>
      </c>
    </row>
    <row r="14" spans="2:13" ht="15.75" x14ac:dyDescent="0.25">
      <c r="B14" s="178"/>
      <c r="C14" s="73" t="s">
        <v>90</v>
      </c>
      <c r="D14" s="65" t="s">
        <v>28</v>
      </c>
      <c r="E14" s="74" t="s">
        <v>32</v>
      </c>
      <c r="F14" s="75">
        <v>0.75</v>
      </c>
      <c r="G14" s="66"/>
      <c r="H14" s="66">
        <f>(80*24)</f>
        <v>1920</v>
      </c>
      <c r="I14" s="67" t="s">
        <v>31</v>
      </c>
      <c r="M14" s="2"/>
    </row>
    <row r="15" spans="2:13" ht="15.75" x14ac:dyDescent="0.25">
      <c r="B15" s="178"/>
      <c r="C15" s="73" t="s">
        <v>37</v>
      </c>
      <c r="D15" s="65" t="s">
        <v>39</v>
      </c>
      <c r="E15" s="74" t="s">
        <v>91</v>
      </c>
      <c r="F15" s="74" t="s">
        <v>67</v>
      </c>
      <c r="G15" s="66"/>
      <c r="H15" s="66">
        <f>9*350</f>
        <v>3150</v>
      </c>
      <c r="I15" s="67" t="s">
        <v>40</v>
      </c>
      <c r="M15" s="2"/>
    </row>
    <row r="16" spans="2:13" ht="15.75" x14ac:dyDescent="0.25">
      <c r="B16" s="178"/>
      <c r="C16" s="73" t="s">
        <v>38</v>
      </c>
      <c r="D16" s="65" t="s">
        <v>39</v>
      </c>
      <c r="E16" s="74" t="s">
        <v>92</v>
      </c>
      <c r="F16" s="75">
        <v>0.75</v>
      </c>
      <c r="G16" s="66"/>
      <c r="H16" s="66">
        <f>9*450</f>
        <v>4050</v>
      </c>
      <c r="I16" s="67" t="s">
        <v>40</v>
      </c>
      <c r="M16" s="2"/>
    </row>
    <row r="17" spans="2:13" ht="15.75" x14ac:dyDescent="0.25">
      <c r="B17" s="178"/>
      <c r="C17" s="73" t="s">
        <v>41</v>
      </c>
      <c r="D17" s="65" t="s">
        <v>33</v>
      </c>
      <c r="E17" s="74" t="s">
        <v>94</v>
      </c>
      <c r="F17" s="74" t="s">
        <v>93</v>
      </c>
      <c r="G17" s="66"/>
      <c r="H17" s="66">
        <f>10.75*850</f>
        <v>9137.5</v>
      </c>
      <c r="I17" s="67" t="s">
        <v>40</v>
      </c>
      <c r="M17" s="2"/>
    </row>
    <row r="18" spans="2:13" ht="16.5" thickBot="1" x14ac:dyDescent="0.3">
      <c r="B18" s="178"/>
      <c r="C18" s="213" t="s">
        <v>96</v>
      </c>
      <c r="D18" s="76" t="s">
        <v>28</v>
      </c>
      <c r="E18" s="37" t="s">
        <v>95</v>
      </c>
      <c r="F18" s="43">
        <v>0.75</v>
      </c>
      <c r="G18" s="77"/>
      <c r="H18" s="77">
        <f>(80*36)</f>
        <v>2880</v>
      </c>
      <c r="I18" s="38" t="s">
        <v>31</v>
      </c>
      <c r="M18" s="2"/>
    </row>
    <row r="19" spans="2:13" ht="15.75" customHeight="1" thickBot="1" x14ac:dyDescent="0.3">
      <c r="B19" s="174"/>
      <c r="C19" s="194" t="s">
        <v>58</v>
      </c>
      <c r="D19" s="195"/>
      <c r="E19" s="196"/>
      <c r="F19" s="78"/>
      <c r="G19" s="79"/>
      <c r="H19" s="80">
        <f>SUM(H8:H18)</f>
        <v>74666.13</v>
      </c>
      <c r="I19" s="81"/>
    </row>
    <row r="20" spans="2:13" ht="15.75" customHeight="1" thickBot="1" x14ac:dyDescent="0.3">
      <c r="B20" s="10"/>
      <c r="C20" s="82"/>
      <c r="D20" s="82"/>
      <c r="E20" s="82"/>
      <c r="F20" s="82"/>
      <c r="G20" s="82"/>
      <c r="H20" s="82"/>
      <c r="I20" s="83"/>
    </row>
    <row r="21" spans="2:13" ht="30.75" customHeight="1" thickBot="1" x14ac:dyDescent="0.3">
      <c r="B21" s="11"/>
      <c r="C21" s="84" t="s">
        <v>1</v>
      </c>
      <c r="D21" s="50" t="s">
        <v>25</v>
      </c>
      <c r="E21" s="51" t="s">
        <v>2</v>
      </c>
      <c r="F21" s="51"/>
      <c r="G21" s="51"/>
      <c r="H21" s="51" t="s">
        <v>52</v>
      </c>
      <c r="I21" s="52" t="s">
        <v>3</v>
      </c>
    </row>
    <row r="22" spans="2:13" ht="30.75" customHeight="1" thickBot="1" x14ac:dyDescent="0.3">
      <c r="B22" s="172" t="s">
        <v>9</v>
      </c>
      <c r="C22" s="53" t="s">
        <v>46</v>
      </c>
      <c r="D22" s="54" t="s">
        <v>47</v>
      </c>
      <c r="E22" s="55" t="s">
        <v>98</v>
      </c>
      <c r="F22" s="56">
        <v>1</v>
      </c>
      <c r="G22" s="57"/>
      <c r="H22" s="57">
        <f>1866.78+3212.5+2659.36+3503.42</f>
        <v>11242.06</v>
      </c>
      <c r="I22" s="96" t="s">
        <v>97</v>
      </c>
    </row>
    <row r="23" spans="2:13" ht="15.75" customHeight="1" thickBot="1" x14ac:dyDescent="0.3">
      <c r="B23" s="174"/>
      <c r="C23" s="202" t="s">
        <v>5</v>
      </c>
      <c r="D23" s="203"/>
      <c r="E23" s="204"/>
      <c r="F23" s="97"/>
      <c r="G23" s="98"/>
      <c r="H23" s="98">
        <f>SUM(H22:H22)</f>
        <v>11242.06</v>
      </c>
      <c r="I23" s="99"/>
    </row>
    <row r="24" spans="2:13" ht="15.75" customHeight="1" thickBot="1" x14ac:dyDescent="0.3">
      <c r="B24" s="10"/>
      <c r="C24" s="100"/>
      <c r="D24" s="100"/>
      <c r="E24" s="100"/>
      <c r="F24" s="100"/>
      <c r="G24" s="100"/>
      <c r="H24" s="100"/>
      <c r="I24" s="101"/>
    </row>
    <row r="25" spans="2:13" ht="16.5" thickBot="1" x14ac:dyDescent="0.3">
      <c r="B25" s="11"/>
      <c r="C25" s="102" t="s">
        <v>1</v>
      </c>
      <c r="D25" s="103" t="s">
        <v>25</v>
      </c>
      <c r="E25" s="104" t="s">
        <v>2</v>
      </c>
      <c r="F25" s="104"/>
      <c r="G25" s="104"/>
      <c r="H25" s="104" t="s">
        <v>52</v>
      </c>
      <c r="I25" s="105" t="s">
        <v>3</v>
      </c>
    </row>
    <row r="26" spans="2:13" ht="30.75" customHeight="1" x14ac:dyDescent="0.25">
      <c r="B26" s="178" t="s">
        <v>56</v>
      </c>
      <c r="C26" s="85" t="s">
        <v>8</v>
      </c>
      <c r="D26" s="86" t="s">
        <v>26</v>
      </c>
      <c r="E26" s="87" t="s">
        <v>100</v>
      </c>
      <c r="F26" s="87" t="s">
        <v>68</v>
      </c>
      <c r="G26" s="88"/>
      <c r="H26" s="88">
        <f>2625+4312.5+46500+19875</f>
        <v>73312.5</v>
      </c>
      <c r="I26" s="89" t="s">
        <v>99</v>
      </c>
    </row>
    <row r="27" spans="2:13" ht="66.75" customHeight="1" thickBot="1" x14ac:dyDescent="0.3">
      <c r="B27" s="178"/>
      <c r="C27" s="90" t="s">
        <v>7</v>
      </c>
      <c r="D27" s="91" t="s">
        <v>45</v>
      </c>
      <c r="E27" s="92" t="s">
        <v>78</v>
      </c>
      <c r="F27" s="93">
        <v>1</v>
      </c>
      <c r="G27" s="94"/>
      <c r="H27" s="94">
        <f>39.1*200*1.2784</f>
        <v>9997.0879999999997</v>
      </c>
      <c r="I27" s="95" t="s">
        <v>50</v>
      </c>
    </row>
    <row r="28" spans="2:13" ht="16.5" thickBot="1" x14ac:dyDescent="0.3">
      <c r="B28" s="174"/>
      <c r="C28" s="209" t="s">
        <v>60</v>
      </c>
      <c r="D28" s="210"/>
      <c r="E28" s="211"/>
      <c r="F28" s="106"/>
      <c r="G28" s="107"/>
      <c r="H28" s="108">
        <f>SUM(H26:H27)</f>
        <v>83309.588000000003</v>
      </c>
      <c r="I28" s="109"/>
    </row>
    <row r="29" spans="2:13" ht="15.75" thickBot="1" x14ac:dyDescent="0.3">
      <c r="B29" s="205"/>
      <c r="C29" s="206"/>
      <c r="D29" s="206"/>
      <c r="E29" s="206"/>
      <c r="F29" s="206"/>
      <c r="G29" s="207"/>
      <c r="H29" s="207"/>
      <c r="I29" s="208"/>
    </row>
    <row r="30" spans="2:13" ht="76.5" customHeight="1" thickBot="1" x14ac:dyDescent="0.3">
      <c r="B30" s="13"/>
      <c r="C30" s="144" t="s">
        <v>1</v>
      </c>
      <c r="D30" s="111" t="s">
        <v>25</v>
      </c>
      <c r="E30" s="112" t="s">
        <v>2</v>
      </c>
      <c r="F30" s="145"/>
      <c r="G30" s="153" t="s">
        <v>51</v>
      </c>
      <c r="H30" s="128" t="s">
        <v>52</v>
      </c>
      <c r="I30" s="146"/>
    </row>
    <row r="31" spans="2:13" ht="21" customHeight="1" thickBot="1" x14ac:dyDescent="0.3">
      <c r="B31" s="172" t="s">
        <v>49</v>
      </c>
      <c r="C31" s="30" t="s">
        <v>30</v>
      </c>
      <c r="D31" s="31" t="s">
        <v>28</v>
      </c>
      <c r="E31" s="32" t="s">
        <v>101</v>
      </c>
      <c r="F31" s="32" t="s">
        <v>71</v>
      </c>
      <c r="G31" s="33">
        <f>7599.73+6369.15</f>
        <v>13968.88</v>
      </c>
      <c r="H31" s="33">
        <f>G31*0.5</f>
        <v>6984.44</v>
      </c>
      <c r="I31" s="34" t="s">
        <v>36</v>
      </c>
    </row>
    <row r="32" spans="2:13" ht="16.5" thickBot="1" x14ac:dyDescent="0.3">
      <c r="B32" s="174"/>
      <c r="C32" s="197" t="s">
        <v>61</v>
      </c>
      <c r="D32" s="198"/>
      <c r="E32" s="199"/>
      <c r="F32" s="147"/>
      <c r="G32" s="148">
        <f>SUM(G26:G31)</f>
        <v>13968.88</v>
      </c>
      <c r="H32" s="148">
        <f>SUM(H31:H31)</f>
        <v>6984.44</v>
      </c>
      <c r="I32" s="149"/>
    </row>
    <row r="33" spans="2:9" ht="16.5" thickBot="1" x14ac:dyDescent="0.3">
      <c r="B33" s="1"/>
      <c r="C33" s="212" t="s">
        <v>48</v>
      </c>
      <c r="D33" s="212"/>
      <c r="E33" s="212"/>
      <c r="F33" s="150"/>
      <c r="G33" s="151"/>
      <c r="H33" s="151">
        <f>SUM(H19,H32,H23,H28)</f>
        <v>176202.21799999999</v>
      </c>
      <c r="I33" s="152"/>
    </row>
    <row r="34" spans="2:9" x14ac:dyDescent="0.25">
      <c r="B34" s="14"/>
      <c r="C34" s="8"/>
      <c r="D34" s="8"/>
      <c r="E34" s="8"/>
      <c r="F34" s="8"/>
      <c r="G34" s="15"/>
      <c r="H34" s="15"/>
      <c r="I34" s="15"/>
    </row>
    <row r="35" spans="2:9" ht="18" customHeight="1" thickBot="1" x14ac:dyDescent="0.3">
      <c r="B35" s="14"/>
      <c r="C35" s="8"/>
      <c r="D35" s="8"/>
      <c r="E35" s="8"/>
      <c r="F35" s="8"/>
      <c r="G35" s="15"/>
      <c r="H35" s="15"/>
      <c r="I35" s="15"/>
    </row>
    <row r="36" spans="2:9" ht="30.75" thickBot="1" x14ac:dyDescent="0.3">
      <c r="B36" s="3"/>
      <c r="C36" s="4"/>
      <c r="D36" s="4"/>
      <c r="E36" s="12" t="s">
        <v>53</v>
      </c>
      <c r="F36" s="12"/>
      <c r="G36" s="5"/>
      <c r="H36" s="5"/>
      <c r="I36" s="7">
        <v>0.05</v>
      </c>
    </row>
    <row r="37" spans="2:9" ht="72" customHeight="1" thickBot="1" x14ac:dyDescent="0.3">
      <c r="B37" s="172" t="s">
        <v>11</v>
      </c>
      <c r="C37" s="126" t="s">
        <v>1</v>
      </c>
      <c r="D37" s="127" t="s">
        <v>25</v>
      </c>
      <c r="E37" s="128" t="s">
        <v>2</v>
      </c>
      <c r="F37" s="128"/>
      <c r="G37" s="154" t="s">
        <v>51</v>
      </c>
      <c r="H37" s="128" t="s">
        <v>52</v>
      </c>
      <c r="I37" s="129" t="s">
        <v>3</v>
      </c>
    </row>
    <row r="38" spans="2:9" ht="15.75" customHeight="1" x14ac:dyDescent="0.25">
      <c r="B38" s="200"/>
      <c r="C38" s="114" t="s">
        <v>18</v>
      </c>
      <c r="D38" s="115" t="s">
        <v>54</v>
      </c>
      <c r="E38" s="115" t="s">
        <v>73</v>
      </c>
      <c r="F38" s="115" t="s">
        <v>74</v>
      </c>
      <c r="G38" s="116">
        <v>89392.5</v>
      </c>
      <c r="H38" s="116">
        <f>G38*I36</f>
        <v>4469.625</v>
      </c>
      <c r="I38" s="39" t="s">
        <v>24</v>
      </c>
    </row>
    <row r="39" spans="2:9" ht="16.5" customHeight="1" thickBot="1" x14ac:dyDescent="0.3">
      <c r="B39" s="200"/>
      <c r="C39" s="117" t="s">
        <v>15</v>
      </c>
      <c r="D39" s="118" t="s">
        <v>54</v>
      </c>
      <c r="E39" s="119" t="s">
        <v>16</v>
      </c>
      <c r="F39" s="119" t="s">
        <v>72</v>
      </c>
      <c r="G39" s="120">
        <v>6300</v>
      </c>
      <c r="H39" s="120">
        <f>G39*I36</f>
        <v>315</v>
      </c>
      <c r="I39" s="40" t="s">
        <v>24</v>
      </c>
    </row>
    <row r="40" spans="2:9" ht="16.5" thickBot="1" x14ac:dyDescent="0.3">
      <c r="B40" s="201"/>
      <c r="C40" s="175" t="s">
        <v>62</v>
      </c>
      <c r="D40" s="176"/>
      <c r="E40" s="177"/>
      <c r="F40" s="130"/>
      <c r="G40" s="131">
        <f>SUM(G38:G39)</f>
        <v>95692.5</v>
      </c>
      <c r="H40" s="131">
        <f>SUM(H38:H39)</f>
        <v>4784.625</v>
      </c>
      <c r="I40" s="132"/>
    </row>
    <row r="41" spans="2:9" ht="16.5" thickBot="1" x14ac:dyDescent="0.3">
      <c r="B41" s="44"/>
      <c r="C41" s="100"/>
      <c r="D41" s="100"/>
      <c r="E41" s="100"/>
      <c r="F41" s="100"/>
      <c r="G41" s="100"/>
      <c r="H41" s="100"/>
      <c r="I41" s="101"/>
    </row>
    <row r="42" spans="2:9" ht="21" customHeight="1" thickBot="1" x14ac:dyDescent="0.3">
      <c r="B42" s="172" t="s">
        <v>10</v>
      </c>
      <c r="C42" s="126" t="s">
        <v>1</v>
      </c>
      <c r="D42" s="127" t="s">
        <v>25</v>
      </c>
      <c r="E42" s="128" t="s">
        <v>2</v>
      </c>
      <c r="F42" s="128"/>
      <c r="G42" s="128" t="s">
        <v>4</v>
      </c>
      <c r="H42" s="128" t="s">
        <v>52</v>
      </c>
      <c r="I42" s="129" t="s">
        <v>3</v>
      </c>
    </row>
    <row r="43" spans="2:9" ht="18.75" customHeight="1" thickBot="1" x14ac:dyDescent="0.3">
      <c r="B43" s="178"/>
      <c r="C43" s="121" t="s">
        <v>6</v>
      </c>
      <c r="D43" s="122" t="s">
        <v>26</v>
      </c>
      <c r="E43" s="123" t="s">
        <v>77</v>
      </c>
      <c r="F43" s="124">
        <v>1</v>
      </c>
      <c r="G43" s="125"/>
      <c r="H43" s="125">
        <f>3000+4687.5</f>
        <v>7687.5</v>
      </c>
      <c r="I43" s="58" t="s">
        <v>76</v>
      </c>
    </row>
    <row r="44" spans="2:9" ht="16.5" thickBot="1" x14ac:dyDescent="0.3">
      <c r="B44" s="174"/>
      <c r="C44" s="175" t="s">
        <v>63</v>
      </c>
      <c r="D44" s="176"/>
      <c r="E44" s="177"/>
      <c r="F44" s="130"/>
      <c r="G44" s="131">
        <f>SUM(G43:G43)</f>
        <v>0</v>
      </c>
      <c r="H44" s="131">
        <f>SUM(H43:H43)</f>
        <v>7687.5</v>
      </c>
      <c r="I44" s="132"/>
    </row>
    <row r="45" spans="2:9" ht="16.5" thickBot="1" x14ac:dyDescent="0.3">
      <c r="B45" s="6"/>
      <c r="C45" s="59"/>
      <c r="D45" s="59"/>
      <c r="E45" s="59"/>
      <c r="F45" s="59"/>
      <c r="G45" s="59"/>
      <c r="H45" s="59"/>
      <c r="I45" s="60"/>
    </row>
    <row r="46" spans="2:9" ht="16.5" thickBot="1" x14ac:dyDescent="0.3">
      <c r="B46" s="172" t="s">
        <v>59</v>
      </c>
      <c r="C46" s="126" t="s">
        <v>1</v>
      </c>
      <c r="D46" s="127" t="s">
        <v>25</v>
      </c>
      <c r="E46" s="128" t="s">
        <v>2</v>
      </c>
      <c r="F46" s="128"/>
      <c r="G46" s="128" t="s">
        <v>4</v>
      </c>
      <c r="H46" s="128" t="s">
        <v>52</v>
      </c>
      <c r="I46" s="129" t="s">
        <v>3</v>
      </c>
    </row>
    <row r="47" spans="2:9" ht="15.75" x14ac:dyDescent="0.25">
      <c r="B47" s="173"/>
      <c r="C47" s="114" t="s">
        <v>13</v>
      </c>
      <c r="D47" s="115" t="s">
        <v>54</v>
      </c>
      <c r="E47" s="115" t="s">
        <v>17</v>
      </c>
      <c r="F47" s="115" t="s">
        <v>69</v>
      </c>
      <c r="G47" s="116">
        <v>207.7</v>
      </c>
      <c r="H47" s="116">
        <f>G47*I36</f>
        <v>10.385</v>
      </c>
      <c r="I47" s="39" t="s">
        <v>24</v>
      </c>
    </row>
    <row r="48" spans="2:9" ht="15.75" customHeight="1" x14ac:dyDescent="0.25">
      <c r="B48" s="173"/>
      <c r="C48" s="133" t="s">
        <v>14</v>
      </c>
      <c r="D48" s="134" t="s">
        <v>54</v>
      </c>
      <c r="E48" s="134" t="s">
        <v>70</v>
      </c>
      <c r="F48" s="134"/>
      <c r="G48" s="135">
        <f>5584.15</f>
        <v>5584.15</v>
      </c>
      <c r="H48" s="135">
        <f>5584.15*I36</f>
        <v>279.20749999999998</v>
      </c>
      <c r="I48" s="136" t="s">
        <v>24</v>
      </c>
    </row>
    <row r="49" spans="2:9" ht="16.5" customHeight="1" x14ac:dyDescent="0.25">
      <c r="B49" s="173"/>
      <c r="C49" s="133" t="s">
        <v>19</v>
      </c>
      <c r="D49" s="134" t="s">
        <v>54</v>
      </c>
      <c r="E49" s="134" t="s">
        <v>20</v>
      </c>
      <c r="F49" s="134"/>
      <c r="G49" s="135">
        <f>1500</f>
        <v>1500</v>
      </c>
      <c r="H49" s="135">
        <f>0.05*G49</f>
        <v>75</v>
      </c>
      <c r="I49" s="136" t="s">
        <v>24</v>
      </c>
    </row>
    <row r="50" spans="2:9" ht="16.5" thickBot="1" x14ac:dyDescent="0.3">
      <c r="B50" s="173"/>
      <c r="C50" s="117" t="s">
        <v>22</v>
      </c>
      <c r="D50" s="118" t="s">
        <v>54</v>
      </c>
      <c r="E50" s="118" t="s">
        <v>23</v>
      </c>
      <c r="F50" s="137">
        <v>1</v>
      </c>
      <c r="G50" s="120">
        <v>6555</v>
      </c>
      <c r="H50" s="120">
        <f>G50*0.5</f>
        <v>3277.5</v>
      </c>
      <c r="I50" s="40">
        <v>7693</v>
      </c>
    </row>
    <row r="51" spans="2:9" ht="18" customHeight="1" thickBot="1" x14ac:dyDescent="0.3">
      <c r="B51" s="174"/>
      <c r="C51" s="175" t="s">
        <v>64</v>
      </c>
      <c r="D51" s="176"/>
      <c r="E51" s="177"/>
      <c r="F51" s="138">
        <f>SUM(H38,H39,H47,H48,H49)</f>
        <v>5149.2175000000007</v>
      </c>
      <c r="G51" s="139">
        <f>SUM(G47:G50)</f>
        <v>13846.849999999999</v>
      </c>
      <c r="H51" s="131">
        <f>SUM(H47:H50)</f>
        <v>3642.0924999999997</v>
      </c>
      <c r="I51" s="132"/>
    </row>
    <row r="52" spans="2:9" ht="16.5" thickBot="1" x14ac:dyDescent="0.3">
      <c r="B52" s="1"/>
      <c r="C52" s="179" t="s">
        <v>21</v>
      </c>
      <c r="D52" s="179"/>
      <c r="E52" s="179"/>
      <c r="F52" s="140"/>
      <c r="G52" s="141">
        <f>SUM(G40,G23,G44)</f>
        <v>95692.5</v>
      </c>
      <c r="H52" s="142">
        <f>SUM(H40,H51,H44)</f>
        <v>16114.217499999999</v>
      </c>
      <c r="I52" s="143"/>
    </row>
    <row r="53" spans="2:9" ht="18.75" customHeight="1" x14ac:dyDescent="0.25">
      <c r="B53" s="14"/>
      <c r="C53" s="8"/>
      <c r="D53" s="8"/>
      <c r="E53" s="8"/>
      <c r="F53" s="8"/>
      <c r="G53" s="15"/>
      <c r="H53" s="15"/>
      <c r="I53" s="15"/>
    </row>
    <row r="54" spans="2:9" ht="18.75" customHeight="1" thickBot="1" x14ac:dyDescent="0.3">
      <c r="B54" s="14"/>
      <c r="C54" s="8"/>
      <c r="D54" s="8"/>
      <c r="E54" s="8"/>
      <c r="F54" s="8"/>
      <c r="G54" s="15"/>
      <c r="H54" s="15"/>
      <c r="I54" s="15"/>
    </row>
    <row r="55" spans="2:9" ht="45.75" customHeight="1" thickBot="1" x14ac:dyDescent="0.3">
      <c r="B55" s="189" t="s">
        <v>57</v>
      </c>
      <c r="C55" s="190"/>
      <c r="D55" s="190"/>
      <c r="E55" s="190"/>
      <c r="F55" s="190"/>
      <c r="G55" s="190"/>
      <c r="H55" s="17" t="s">
        <v>75</v>
      </c>
      <c r="I55" s="16"/>
    </row>
    <row r="56" spans="2:9" ht="15" customHeight="1" x14ac:dyDescent="0.25">
      <c r="B56" s="45"/>
      <c r="C56" s="169" t="str">
        <f>B8</f>
        <v>1.1: RAB Drilling Production</v>
      </c>
      <c r="D56" s="170"/>
      <c r="E56" s="170"/>
      <c r="F56" s="171"/>
      <c r="G56" s="171"/>
      <c r="H56" s="21">
        <f>H19</f>
        <v>74666.13</v>
      </c>
      <c r="I56" s="22"/>
    </row>
    <row r="57" spans="2:9" ht="15" customHeight="1" x14ac:dyDescent="0.25">
      <c r="B57" s="46"/>
      <c r="C57" s="166" t="str">
        <f>B22</f>
        <v>1.2: Assays  and Shipping</v>
      </c>
      <c r="D57" s="167"/>
      <c r="E57" s="167"/>
      <c r="F57" s="168"/>
      <c r="G57" s="168"/>
      <c r="H57" s="23">
        <f>H23</f>
        <v>11242.06</v>
      </c>
      <c r="I57" s="24"/>
    </row>
    <row r="58" spans="2:9" ht="19.5" customHeight="1" x14ac:dyDescent="0.25">
      <c r="B58" s="46"/>
      <c r="C58" s="166" t="str">
        <f>B26</f>
        <v>1.3: Helicopter, Transport, fuel</v>
      </c>
      <c r="D58" s="167"/>
      <c r="E58" s="167"/>
      <c r="F58" s="168"/>
      <c r="G58" s="168"/>
      <c r="H58" s="23">
        <f>H28</f>
        <v>83309.588000000003</v>
      </c>
      <c r="I58" s="24"/>
    </row>
    <row r="59" spans="2:9" ht="19.5" customHeight="1" x14ac:dyDescent="0.25">
      <c r="B59" s="46"/>
      <c r="C59" s="166" t="str">
        <f>B31</f>
        <v>1.4: Crew Travel</v>
      </c>
      <c r="D59" s="167"/>
      <c r="E59" s="167"/>
      <c r="F59" s="168"/>
      <c r="G59" s="168"/>
      <c r="H59" s="23">
        <f>H32</f>
        <v>6984.44</v>
      </c>
      <c r="I59" s="24"/>
    </row>
    <row r="60" spans="2:9" ht="19.5" customHeight="1" thickBot="1" x14ac:dyDescent="0.3">
      <c r="B60" s="46"/>
      <c r="C60" s="163" t="str">
        <f>B6</f>
        <v>1.0: RAB Drilling - Groundtruth Drilling, GroundTruth Exploration, Bureau Veritas, Great Slave Helicopters</v>
      </c>
      <c r="D60" s="164"/>
      <c r="E60" s="164"/>
      <c r="F60" s="165"/>
      <c r="G60" s="165"/>
      <c r="H60" s="25">
        <f>H33</f>
        <v>176202.21799999999</v>
      </c>
      <c r="I60" s="26"/>
    </row>
    <row r="61" spans="2:9" ht="19.5" customHeight="1" x14ac:dyDescent="0.25">
      <c r="B61" s="47"/>
      <c r="C61" s="159" t="str">
        <f>B37</f>
        <v>2.1: Pad Building Labour</v>
      </c>
      <c r="D61" s="160"/>
      <c r="E61" s="160"/>
      <c r="F61" s="160"/>
      <c r="G61" s="160"/>
      <c r="H61" s="23">
        <f>H40</f>
        <v>4784.625</v>
      </c>
      <c r="I61" s="24"/>
    </row>
    <row r="62" spans="2:9" ht="19.5" customHeight="1" x14ac:dyDescent="0.25">
      <c r="B62" s="47"/>
      <c r="C62" s="157" t="str">
        <f>B42</f>
        <v>2.2: Helicopter</v>
      </c>
      <c r="D62" s="158"/>
      <c r="E62" s="158"/>
      <c r="F62" s="158"/>
      <c r="G62" s="158"/>
      <c r="H62" s="23">
        <f>H44</f>
        <v>7687.5</v>
      </c>
      <c r="I62" s="24"/>
    </row>
    <row r="63" spans="2:9" ht="19.5" customHeight="1" x14ac:dyDescent="0.25">
      <c r="B63" s="47"/>
      <c r="C63" s="157" t="str">
        <f>B46</f>
        <v>2.3: Crew Travel/Mobilization</v>
      </c>
      <c r="D63" s="158"/>
      <c r="E63" s="158"/>
      <c r="F63" s="158"/>
      <c r="G63" s="158"/>
      <c r="H63" s="23">
        <f>H51</f>
        <v>3642.0924999999997</v>
      </c>
      <c r="I63" s="24"/>
    </row>
    <row r="64" spans="2:9" ht="30" customHeight="1" thickBot="1" x14ac:dyDescent="0.3">
      <c r="B64" s="48"/>
      <c r="C64" s="155" t="str">
        <f>C52</f>
        <v>2.0:Pad Building - Total</v>
      </c>
      <c r="D64" s="156"/>
      <c r="E64" s="156"/>
      <c r="F64" s="156"/>
      <c r="G64" s="156"/>
      <c r="H64" s="25">
        <f>H52</f>
        <v>16114.217499999999</v>
      </c>
      <c r="I64" s="27"/>
    </row>
    <row r="65" spans="2:9" ht="57" customHeight="1" thickBot="1" x14ac:dyDescent="0.3">
      <c r="B65" s="161" t="s">
        <v>12</v>
      </c>
      <c r="C65" s="162"/>
      <c r="D65" s="162"/>
      <c r="E65" s="162"/>
      <c r="F65" s="162"/>
      <c r="G65" s="162"/>
      <c r="H65" s="28">
        <f>SUM(H60,H64)</f>
        <v>192316.43549999999</v>
      </c>
      <c r="I65" s="49"/>
    </row>
    <row r="66" spans="2:9" x14ac:dyDescent="0.25">
      <c r="B66" s="29"/>
    </row>
    <row r="67" spans="2:9" ht="26.25" x14ac:dyDescent="0.4">
      <c r="H67" s="19"/>
      <c r="I67" s="20"/>
    </row>
    <row r="69" spans="2:9" ht="18.75" customHeight="1" x14ac:dyDescent="0.25"/>
    <row r="70" spans="2:9" ht="15" customHeight="1" x14ac:dyDescent="0.25"/>
    <row r="71" spans="2:9" ht="15" customHeight="1" x14ac:dyDescent="0.25">
      <c r="I71" s="18"/>
    </row>
    <row r="72" spans="2:9" ht="19.5" customHeight="1" x14ac:dyDescent="0.25"/>
    <row r="73" spans="2:9" ht="19.5" customHeight="1" x14ac:dyDescent="0.25"/>
    <row r="74" spans="2:9" ht="19.5" customHeight="1" x14ac:dyDescent="0.25"/>
  </sheetData>
  <mergeCells count="34">
    <mergeCell ref="B55:G55"/>
    <mergeCell ref="B6:I6"/>
    <mergeCell ref="C19:E19"/>
    <mergeCell ref="C32:E32"/>
    <mergeCell ref="B8:B19"/>
    <mergeCell ref="B37:B40"/>
    <mergeCell ref="C40:E40"/>
    <mergeCell ref="C23:E23"/>
    <mergeCell ref="B26:B28"/>
    <mergeCell ref="B29:I29"/>
    <mergeCell ref="C28:E28"/>
    <mergeCell ref="B22:B23"/>
    <mergeCell ref="B31:B32"/>
    <mergeCell ref="C33:E33"/>
    <mergeCell ref="B1:I1"/>
    <mergeCell ref="B2:I2"/>
    <mergeCell ref="B3:I3"/>
    <mergeCell ref="B4:I4"/>
    <mergeCell ref="B5:I5"/>
    <mergeCell ref="B46:B51"/>
    <mergeCell ref="C51:E51"/>
    <mergeCell ref="B42:B44"/>
    <mergeCell ref="C44:E44"/>
    <mergeCell ref="C52:E52"/>
    <mergeCell ref="C60:G60"/>
    <mergeCell ref="C59:G59"/>
    <mergeCell ref="C58:G58"/>
    <mergeCell ref="C57:G57"/>
    <mergeCell ref="C56:G56"/>
    <mergeCell ref="C64:G64"/>
    <mergeCell ref="C63:G63"/>
    <mergeCell ref="C62:G62"/>
    <mergeCell ref="C61:G61"/>
    <mergeCell ref="B65:G65"/>
  </mergeCells>
  <pageMargins left="0.7" right="0.7" top="0.75" bottom="0.75" header="0.3" footer="0.3"/>
  <pageSetup scale="37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8D2F-B268-462E-839F-A805F9C33A47}">
  <dimension ref="A1"/>
  <sheetViews>
    <sheetView workbookViewId="0">
      <selection activeCell="M12" sqref="M12"/>
    </sheetView>
  </sheetViews>
  <sheetFormatPr defaultRowHeight="15" x14ac:dyDescent="0.25"/>
  <cols>
    <col min="3" max="3" width="9.140625" customWidth="1"/>
    <col min="7" max="8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TOO Cost statement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GTAdmin</dc:creator>
  <cp:lastModifiedBy>Steven Walsh</cp:lastModifiedBy>
  <cp:lastPrinted>2023-11-23T16:56:56Z</cp:lastPrinted>
  <dcterms:created xsi:type="dcterms:W3CDTF">2022-01-26T19:38:46Z</dcterms:created>
  <dcterms:modified xsi:type="dcterms:W3CDTF">2023-12-01T00:57:47Z</dcterms:modified>
</cp:coreProperties>
</file>