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lsh\Desktop\WOLF YMEP Report\Drafts\Appendicies\Appendix IV - Cost Summary\"/>
    </mc:Choice>
  </mc:AlternateContent>
  <xr:revisionPtr revIDLastSave="0" documentId="13_ncr:1_{F91DFC8D-FAA8-4FDB-9602-728A39237BF5}" xr6:coauthVersionLast="47" xr6:coauthVersionMax="47" xr10:uidLastSave="{00000000-0000-0000-0000-000000000000}"/>
  <bookViews>
    <workbookView xWindow="-120" yWindow="-120" windowWidth="29040" windowHeight="15840" xr2:uid="{D21AD925-4100-40AD-BFF9-2C2CAC635A5E}"/>
  </bookViews>
  <sheets>
    <sheet name="TOO Cost statement" sheetId="2" r:id="rId1"/>
    <sheet name="Sheet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J51" i="2"/>
  <c r="K48" i="2"/>
  <c r="H44" i="2"/>
  <c r="K40" i="2" l="1"/>
  <c r="K39" i="2"/>
  <c r="H51" i="2"/>
  <c r="H49" i="2"/>
  <c r="H48" i="2"/>
  <c r="H40" i="2"/>
  <c r="H39" i="2"/>
  <c r="G32" i="2"/>
  <c r="H28" i="2"/>
  <c r="H27" i="2"/>
  <c r="H23" i="2"/>
  <c r="I23" i="2" s="1"/>
  <c r="I19" i="2"/>
  <c r="H18" i="2"/>
  <c r="K18" i="2" s="1"/>
  <c r="K17" i="2"/>
  <c r="H17" i="2"/>
  <c r="K15" i="2"/>
  <c r="H15" i="2"/>
  <c r="H10" i="2"/>
  <c r="H13" i="2"/>
  <c r="K12" i="2"/>
  <c r="H12" i="2"/>
  <c r="H11" i="2"/>
  <c r="I11" i="2" s="1"/>
  <c r="I18" i="2" l="1"/>
  <c r="J23" i="2"/>
  <c r="K41" i="2" l="1"/>
  <c r="K62" i="2" s="1"/>
  <c r="K33" i="2"/>
  <c r="K60" i="2" l="1"/>
  <c r="I28" i="2" l="1"/>
  <c r="I9" i="2"/>
  <c r="J9" i="2" s="1"/>
  <c r="I10" i="2"/>
  <c r="J10" i="2" s="1"/>
  <c r="K10" i="2" s="1"/>
  <c r="I15" i="2"/>
  <c r="J15" i="2" s="1"/>
  <c r="I16" i="2"/>
  <c r="J16" i="2" s="1"/>
  <c r="K16" i="2" s="1"/>
  <c r="I17" i="2"/>
  <c r="J17" i="2" s="1"/>
  <c r="I8" i="2"/>
  <c r="J8" i="2" s="1"/>
  <c r="K8" i="2" s="1"/>
  <c r="I24" i="2"/>
  <c r="I58" i="2" s="1"/>
  <c r="I44" i="2"/>
  <c r="I45" i="2" s="1"/>
  <c r="I63" i="2" s="1"/>
  <c r="I27" i="2"/>
  <c r="I29" i="2" l="1"/>
  <c r="I59" i="2" s="1"/>
  <c r="J27" i="2"/>
  <c r="K9" i="2"/>
  <c r="J44" i="2"/>
  <c r="J28" i="2"/>
  <c r="K28" i="2" s="1"/>
  <c r="J45" i="2" l="1"/>
  <c r="J63" i="2" s="1"/>
  <c r="K44" i="2"/>
  <c r="K45" i="2" s="1"/>
  <c r="K63" i="2" s="1"/>
  <c r="I51" i="2"/>
  <c r="K51" i="2" s="1"/>
  <c r="K52" i="2" s="1"/>
  <c r="K27" i="2"/>
  <c r="K29" i="2" s="1"/>
  <c r="J29" i="2"/>
  <c r="J59" i="2" s="1"/>
  <c r="K23" i="2"/>
  <c r="K24" i="2" s="1"/>
  <c r="K58" i="2" s="1"/>
  <c r="J24" i="2"/>
  <c r="J58" i="2" s="1"/>
  <c r="C64" i="2"/>
  <c r="C63" i="2"/>
  <c r="C62" i="2"/>
  <c r="C61" i="2"/>
  <c r="C60" i="2"/>
  <c r="C59" i="2"/>
  <c r="C58" i="2"/>
  <c r="C57" i="2"/>
  <c r="H45" i="2"/>
  <c r="H63" i="2" s="1"/>
  <c r="H24" i="2"/>
  <c r="H58" i="2" s="1"/>
  <c r="H32" i="2"/>
  <c r="J19" i="2"/>
  <c r="K19" i="2" s="1"/>
  <c r="I13" i="2"/>
  <c r="J13" i="2" s="1"/>
  <c r="K13" i="2" s="1"/>
  <c r="H14" i="2"/>
  <c r="I14" i="2" s="1"/>
  <c r="J14" i="2" s="1"/>
  <c r="K14" i="2" s="1"/>
  <c r="I12" i="2"/>
  <c r="J12" i="2" s="1"/>
  <c r="G50" i="2"/>
  <c r="H50" i="2" s="1"/>
  <c r="G49" i="2"/>
  <c r="K64" i="2" l="1"/>
  <c r="K53" i="2"/>
  <c r="K65" i="2" s="1"/>
  <c r="H33" i="2"/>
  <c r="H60" i="2" s="1"/>
  <c r="I32" i="2"/>
  <c r="I33" i="2" s="1"/>
  <c r="I60" i="2" s="1"/>
  <c r="I50" i="2"/>
  <c r="J50" i="2" s="1"/>
  <c r="I49" i="2"/>
  <c r="J49" i="2" s="1"/>
  <c r="I48" i="2"/>
  <c r="J48" i="2" s="1"/>
  <c r="K59" i="2"/>
  <c r="J11" i="2"/>
  <c r="I20" i="2"/>
  <c r="I40" i="2"/>
  <c r="J40" i="2" s="1"/>
  <c r="I39" i="2"/>
  <c r="H41" i="2"/>
  <c r="H62" i="2" s="1"/>
  <c r="H29" i="2"/>
  <c r="H59" i="2" s="1"/>
  <c r="G52" i="2"/>
  <c r="H20" i="2"/>
  <c r="H57" i="2" s="1"/>
  <c r="H52" i="2"/>
  <c r="I41" i="2" l="1"/>
  <c r="I62" i="2" s="1"/>
  <c r="J52" i="2"/>
  <c r="J64" i="2" s="1"/>
  <c r="I57" i="2"/>
  <c r="I34" i="2"/>
  <c r="I61" i="2" s="1"/>
  <c r="J32" i="2"/>
  <c r="J33" i="2" s="1"/>
  <c r="J60" i="2" s="1"/>
  <c r="K11" i="2"/>
  <c r="K20" i="2" s="1"/>
  <c r="J20" i="2"/>
  <c r="I52" i="2"/>
  <c r="I64" i="2" s="1"/>
  <c r="J39" i="2"/>
  <c r="J41" i="2" s="1"/>
  <c r="H53" i="2"/>
  <c r="H65" i="2" s="1"/>
  <c r="H64" i="2"/>
  <c r="H34" i="2"/>
  <c r="H61" i="2" s="1"/>
  <c r="I53" i="2" l="1"/>
  <c r="I65" i="2" s="1"/>
  <c r="I66" i="2" s="1"/>
  <c r="J34" i="2"/>
  <c r="J61" i="2" s="1"/>
  <c r="J57" i="2"/>
  <c r="K57" i="2"/>
  <c r="K34" i="2"/>
  <c r="K61" i="2" s="1"/>
  <c r="K66" i="2" s="1"/>
  <c r="J53" i="2"/>
  <c r="J65" i="2" s="1"/>
  <c r="J62" i="2"/>
  <c r="H66" i="2"/>
  <c r="J66" i="2" l="1"/>
  <c r="G41" i="2"/>
  <c r="G53" i="2" s="1"/>
  <c r="G33" i="2" l="1"/>
</calcChain>
</file>

<file path=xl/sharedStrings.xml><?xml version="1.0" encoding="utf-8"?>
<sst xmlns="http://schemas.openxmlformats.org/spreadsheetml/2006/main" count="209" uniqueCount="115">
  <si>
    <t>White Gold Corp</t>
  </si>
  <si>
    <t>1.0: RAB Drilling - Groundtruth Drilling, GroundTruth Exploration, Bureau Veritas, Great Slave Helicopters</t>
  </si>
  <si>
    <t>Item</t>
  </si>
  <si>
    <t>Service Provider</t>
  </si>
  <si>
    <t>Description</t>
  </si>
  <si>
    <t>YMEP Rate</t>
  </si>
  <si>
    <t>PropertyAmount</t>
  </si>
  <si>
    <t>Tax</t>
  </si>
  <si>
    <t>Total with tax</t>
  </si>
  <si>
    <t>YMEP Eligeable Expenses</t>
  </si>
  <si>
    <t>Invoice #</t>
  </si>
  <si>
    <t>1.1: RAB Drilling Production</t>
  </si>
  <si>
    <t>Drill Production</t>
  </si>
  <si>
    <t>Groundtruth Drilling</t>
  </si>
  <si>
    <t>INV 1148</t>
  </si>
  <si>
    <t>Meterage Rate</t>
  </si>
  <si>
    <t>Consumables</t>
  </si>
  <si>
    <t>INV 1148, INV11094</t>
  </si>
  <si>
    <t>Drillcore sampling</t>
  </si>
  <si>
    <t xml:space="preserve">24 hours at 80$/hr </t>
  </si>
  <si>
    <t>Field Portable XRF</t>
  </si>
  <si>
    <t>Groundtruth Exploration</t>
  </si>
  <si>
    <t>110/day</t>
  </si>
  <si>
    <t>INV11055R</t>
  </si>
  <si>
    <t>Optical Televiewer</t>
  </si>
  <si>
    <t>Drill Geologist</t>
  </si>
  <si>
    <t>Drill moves Setup/Teardown of rig</t>
  </si>
  <si>
    <t>Total RAB Drilling Production</t>
  </si>
  <si>
    <t>1.2: Assays  and Shipping</t>
  </si>
  <si>
    <t>Assay costs - RAB Drilling</t>
  </si>
  <si>
    <t xml:space="preserve">Bureau Veritas </t>
  </si>
  <si>
    <t>VANI474208, VANI475010, VANI474563, VANI474209</t>
  </si>
  <si>
    <t>Total Assays and Shipping</t>
  </si>
  <si>
    <t>1.3: Helicopter, Transport, fuel</t>
  </si>
  <si>
    <t>Helicopter time</t>
  </si>
  <si>
    <t>Great Slave Helicopters</t>
  </si>
  <si>
    <t>Air travel within Yukon - 100%</t>
  </si>
  <si>
    <t>Fuel</t>
  </si>
  <si>
    <t>AFD Petroleum Limited</t>
  </si>
  <si>
    <t>Total Helicopter and Transport for RAB Drilling</t>
  </si>
  <si>
    <t>Total Invoiced to WGO across all programs</t>
  </si>
  <si>
    <t>1.4: Crew Travel</t>
  </si>
  <si>
    <t>Crew Travel</t>
  </si>
  <si>
    <t>0%? Outside of yukon</t>
  </si>
  <si>
    <t>INV 1148, INV1152</t>
  </si>
  <si>
    <t>Total RAB Drill Crew Travel to Whitehorse</t>
  </si>
  <si>
    <t>1.0: RAB Drilling - Total</t>
  </si>
  <si>
    <t>2.1: Pad Building Labour</t>
  </si>
  <si>
    <t>Employee man-days</t>
  </si>
  <si>
    <t>Minconsult Exploration Services</t>
  </si>
  <si>
    <t>10-23Jun2023WG</t>
  </si>
  <si>
    <t>Equipment Rental</t>
  </si>
  <si>
    <t>2x Fly Basket and tools - $225/day per basket, 14 days</t>
  </si>
  <si>
    <t>Total Pad Building Labour</t>
  </si>
  <si>
    <t>2.2: Helicopter</t>
  </si>
  <si>
    <t>Amount</t>
  </si>
  <si>
    <t>Total Helicopter support for Pad Building</t>
  </si>
  <si>
    <t>2.3: Crew Travel/Mobilization</t>
  </si>
  <si>
    <t xml:space="preserve">Vehicle Km's </t>
  </si>
  <si>
    <t>Contractor Work Vehicle Mobilization to site - 335Km's at $0.62/day</t>
  </si>
  <si>
    <t>$0.6/km</t>
  </si>
  <si>
    <t>Travel and Lodging</t>
  </si>
  <si>
    <t>-</t>
  </si>
  <si>
    <t>Tintina Flight to Thistle Camp</t>
  </si>
  <si>
    <t>Total Mobilization/Travel for Pad Building Crew</t>
  </si>
  <si>
    <t>2.0:Pad Building - Total</t>
  </si>
  <si>
    <t>2023 Toonie Expenditure Summary</t>
  </si>
  <si>
    <t>Total Tax</t>
  </si>
  <si>
    <t>TOO Project Total with Tax</t>
  </si>
  <si>
    <t>YMEP Eligible Expenses</t>
  </si>
  <si>
    <t>Total 2023 Toonie Expenditure</t>
  </si>
  <si>
    <t>YMEP Claim Amount</t>
  </si>
  <si>
    <t>PROJECT: WLF - WOLF</t>
  </si>
  <si>
    <t>Service Providers: Groundtruth Exploration, Groundtruth Drilling, WGO, Great Slave Helicopters, Minconsult Exploration Services, BV Labs Vancouver, Tintina Air</t>
  </si>
  <si>
    <t>WLF 2023 Project Costs</t>
  </si>
  <si>
    <t>Cessna 206 Charter</t>
  </si>
  <si>
    <t>Tintina Air</t>
  </si>
  <si>
    <t>Fly in fishing tool for OTV retrieval</t>
  </si>
  <si>
    <t>Rig Rate charged per day 8.8 days at 3500/day</t>
  </si>
  <si>
    <t>Weather Rate</t>
  </si>
  <si>
    <t>1 day charged at $2625/day.</t>
  </si>
  <si>
    <t>Timeline: July 2nd - July 13th, 2023</t>
  </si>
  <si>
    <t>Consumables: Drill bits, Drill fuel</t>
  </si>
  <si>
    <t>Sampling Technician</t>
  </si>
  <si>
    <t>10.75 day units at $600/day</t>
  </si>
  <si>
    <t>Technician - $350/day</t>
  </si>
  <si>
    <t>Mobilization</t>
  </si>
  <si>
    <t>300.3m at $5/meter</t>
  </si>
  <si>
    <t>300.3m at $30/meter</t>
  </si>
  <si>
    <t>9 days at $350/day</t>
  </si>
  <si>
    <t>9 days at $450/day</t>
  </si>
  <si>
    <t>Drillcore logging, XRF data production.  10.75 days at $850</t>
  </si>
  <si>
    <t xml:space="preserve">Per worker rate per hour when on project -  36 hours at 80$/hr </t>
  </si>
  <si>
    <t>Lab assay expenses: 34+60+49+64 at $54.31/sample</t>
  </si>
  <si>
    <t>IN010079, IN010142,IN010024, IN009901</t>
  </si>
  <si>
    <t>Bulk fuel purchase on invoice_SI00023845 on June 06th, 2023($1.2274/L) was used to estimate fuel cost for the entire drilling program at an average burn rate of 1.25 barrels/hr or 200 L/hr and a total of 39.04 hours of flight time</t>
  </si>
  <si>
    <t>Sales invoice_SI00023845</t>
  </si>
  <si>
    <t>Travel for crew to Whitehorse and back 50% of total costs applied to WLF</t>
  </si>
  <si>
    <t>Transportation drill crew from Thistle Camp to WLF property, drill support, and drill moves. 39.04 hours at $1875/hour</t>
  </si>
  <si>
    <r>
      <rPr>
        <b/>
        <sz val="14"/>
        <rFont val="Calibri"/>
        <family val="2"/>
        <scheme val="minor"/>
      </rPr>
      <t>1.0: RAB Drilling</t>
    </r>
    <r>
      <rPr>
        <b/>
        <sz val="12"/>
        <rFont val="Calibri"/>
        <family val="2"/>
        <scheme val="minor"/>
      </rPr>
      <t xml:space="preserve"> - Groundtruth Drilling, GroundTruth Exploration, Bureau Veritas, Great Slave Helicopters, Tintina Air</t>
    </r>
  </si>
  <si>
    <t>$300/day (10% of 74 man-days)</t>
  </si>
  <si>
    <t>Pad building labour -  10% of total invoiced hourly expenditures of 89,392.5 applied to WLF</t>
  </si>
  <si>
    <t>$100/day (as per Daily field expenses)</t>
  </si>
  <si>
    <t>Setouts and Pickups</t>
  </si>
  <si>
    <t>IN009799, IN009901</t>
  </si>
  <si>
    <t>Flight time= 2.85hrs at $1875/hr</t>
  </si>
  <si>
    <t>Hotel expenses by contractor for travel to Whitehorse</t>
  </si>
  <si>
    <t>Employee travel per diem</t>
  </si>
  <si>
    <t>20 day units at $75/day</t>
  </si>
  <si>
    <t>Supervan charter Whitehorse-Thistle-Whitehorse - 50% applied to WLF</t>
  </si>
  <si>
    <t>2023 Wolf Expenditure Summary</t>
  </si>
  <si>
    <t>WLF Project Total</t>
  </si>
  <si>
    <t>WLF Project Total with Tax</t>
  </si>
  <si>
    <r>
      <rPr>
        <b/>
        <sz val="14"/>
        <rFont val="Calibri"/>
        <family val="2"/>
        <scheme val="minor"/>
      </rPr>
      <t>2.0 Pad Building</t>
    </r>
    <r>
      <rPr>
        <b/>
        <sz val="12"/>
        <rFont val="Calibri"/>
        <family val="2"/>
        <scheme val="minor"/>
      </rPr>
      <t xml:space="preserve"> - Minconsult Exploration Services, Great Slave Helicopters.</t>
    </r>
  </si>
  <si>
    <t>Total 2023 Wolf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</si>
</sst>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\$#,##0.00"/>
    <numFmt numFmtId="165" formatCode="&quot;$ &quot;#,##0.00"/>
    <numFmt numFmtId="166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8"/>
      <color rgb="FF7030A0"/>
      <name val="Calibri"/>
      <family val="2"/>
      <scheme val="minor"/>
    </font>
    <font>
      <b/>
      <sz val="36"/>
      <color rgb="FF7030A0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4" borderId="20" xfId="0" applyFont="1" applyFill="1" applyBorder="1" applyAlignment="1">
      <alignment horizontal="center" vertical="center" wrapText="1"/>
    </xf>
    <xf numFmtId="10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left" vertical="top" wrapText="1"/>
    </xf>
    <xf numFmtId="164" fontId="9" fillId="0" borderId="59" xfId="0" applyNumberFormat="1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left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26" xfId="0" applyNumberFormat="1" applyFont="1" applyBorder="1" applyAlignment="1">
      <alignment horizontal="left" vertical="top" wrapText="1"/>
    </xf>
    <xf numFmtId="164" fontId="9" fillId="0" borderId="60" xfId="0" applyNumberFormat="1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165" fontId="5" fillId="11" borderId="18" xfId="0" applyNumberFormat="1" applyFont="1" applyFill="1" applyBorder="1" applyAlignment="1">
      <alignment horizontal="center" vertical="top" shrinkToFit="1"/>
    </xf>
    <xf numFmtId="165" fontId="5" fillId="11" borderId="51" xfId="0" applyNumberFormat="1" applyFont="1" applyFill="1" applyBorder="1" applyAlignment="1">
      <alignment horizontal="center" vertical="top" shrinkToFit="1"/>
    </xf>
    <xf numFmtId="165" fontId="5" fillId="11" borderId="24" xfId="0" applyNumberFormat="1" applyFont="1" applyFill="1" applyBorder="1" applyAlignment="1">
      <alignment horizontal="center" vertical="top" shrinkToFit="1"/>
    </xf>
    <xf numFmtId="0" fontId="8" fillId="2" borderId="41" xfId="0" applyFont="1" applyFill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left" vertical="center" shrinkToFit="1"/>
    </xf>
    <xf numFmtId="165" fontId="10" fillId="0" borderId="31" xfId="0" applyNumberFormat="1" applyFont="1" applyBorder="1" applyAlignment="1">
      <alignment horizontal="center" vertical="top" shrinkToFit="1"/>
    </xf>
    <xf numFmtId="1" fontId="9" fillId="0" borderId="23" xfId="0" applyNumberFormat="1" applyFont="1" applyBorder="1" applyAlignment="1">
      <alignment horizontal="center" vertical="center" wrapText="1"/>
    </xf>
    <xf numFmtId="165" fontId="5" fillId="11" borderId="22" xfId="0" applyNumberFormat="1" applyFont="1" applyFill="1" applyBorder="1" applyAlignment="1">
      <alignment horizontal="center" vertical="center" shrinkToFit="1"/>
    </xf>
    <xf numFmtId="165" fontId="5" fillId="11" borderId="31" xfId="0" applyNumberFormat="1" applyFont="1" applyFill="1" applyBorder="1" applyAlignment="1">
      <alignment horizontal="center" vertical="top" shrinkToFit="1"/>
    </xf>
    <xf numFmtId="0" fontId="9" fillId="10" borderId="23" xfId="0" applyFont="1" applyFill="1" applyBorder="1" applyAlignment="1">
      <alignment horizontal="center" vertical="center" wrapText="1"/>
    </xf>
    <xf numFmtId="165" fontId="10" fillId="0" borderId="44" xfId="0" applyNumberFormat="1" applyFont="1" applyBorder="1" applyAlignment="1">
      <alignment horizontal="left" vertical="center" shrinkToFit="1"/>
    </xf>
    <xf numFmtId="1" fontId="9" fillId="0" borderId="45" xfId="0" applyNumberFormat="1" applyFont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left" vertical="center" shrinkToFit="1"/>
    </xf>
    <xf numFmtId="1" fontId="9" fillId="0" borderId="19" xfId="0" applyNumberFormat="1" applyFont="1" applyBorder="1" applyAlignment="1">
      <alignment horizontal="center" vertical="center" wrapText="1"/>
    </xf>
    <xf numFmtId="165" fontId="10" fillId="10" borderId="22" xfId="0" applyNumberFormat="1" applyFont="1" applyFill="1" applyBorder="1" applyAlignment="1">
      <alignment horizontal="left" vertical="center" shrinkToFit="1"/>
    </xf>
    <xf numFmtId="165" fontId="5" fillId="10" borderId="22" xfId="0" applyNumberFormat="1" applyFont="1" applyFill="1" applyBorder="1" applyAlignment="1">
      <alignment horizontal="left" vertical="center" shrinkToFit="1"/>
    </xf>
    <xf numFmtId="165" fontId="5" fillId="10" borderId="31" xfId="0" applyNumberFormat="1" applyFont="1" applyFill="1" applyBorder="1" applyAlignment="1">
      <alignment horizontal="center" vertical="top" shrinkToFit="1"/>
    </xf>
    <xf numFmtId="1" fontId="9" fillId="10" borderId="23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top" wrapText="1"/>
    </xf>
    <xf numFmtId="165" fontId="5" fillId="5" borderId="20" xfId="0" applyNumberFormat="1" applyFont="1" applyFill="1" applyBorder="1" applyAlignment="1">
      <alignment horizontal="center" vertical="top" shrinkToFit="1"/>
    </xf>
    <xf numFmtId="165" fontId="5" fillId="5" borderId="33" xfId="0" applyNumberFormat="1" applyFont="1" applyFill="1" applyBorder="1" applyAlignment="1">
      <alignment horizontal="center" vertical="top" shrinkToFit="1"/>
    </xf>
    <xf numFmtId="165" fontId="1" fillId="0" borderId="0" xfId="0" applyNumberFormat="1" applyFont="1" applyAlignment="1">
      <alignment horizontal="center" vertical="top" shrinkToFit="1"/>
    </xf>
    <xf numFmtId="165" fontId="5" fillId="0" borderId="0" xfId="0" applyNumberFormat="1" applyFont="1" applyAlignment="1">
      <alignment horizontal="center" vertical="top" shrinkToFit="1"/>
    </xf>
    <xf numFmtId="165" fontId="10" fillId="0" borderId="44" xfId="0" applyNumberFormat="1" applyFont="1" applyBorder="1" applyAlignment="1">
      <alignment horizontal="center" vertical="center" shrinkToFit="1"/>
    </xf>
    <xf numFmtId="165" fontId="10" fillId="0" borderId="44" xfId="0" applyNumberFormat="1" applyFont="1" applyBorder="1" applyAlignment="1">
      <alignment horizontal="center" vertical="top" shrinkToFit="1"/>
    </xf>
    <xf numFmtId="0" fontId="9" fillId="0" borderId="45" xfId="0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center" vertical="center" shrinkToFit="1"/>
    </xf>
    <xf numFmtId="165" fontId="10" fillId="0" borderId="26" xfId="0" applyNumberFormat="1" applyFont="1" applyBorder="1" applyAlignment="1">
      <alignment horizontal="center" vertical="top" shrinkToFit="1"/>
    </xf>
    <xf numFmtId="0" fontId="9" fillId="0" borderId="47" xfId="0" applyFont="1" applyBorder="1" applyAlignment="1">
      <alignment horizontal="center" vertical="center" wrapText="1"/>
    </xf>
    <xf numFmtId="165" fontId="5" fillId="11" borderId="18" xfId="0" applyNumberFormat="1" applyFont="1" applyFill="1" applyBorder="1" applyAlignment="1">
      <alignment horizontal="center" vertical="center" shrinkToFit="1"/>
    </xf>
    <xf numFmtId="0" fontId="9" fillId="10" borderId="1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top" wrapText="1"/>
    </xf>
    <xf numFmtId="165" fontId="10" fillId="0" borderId="22" xfId="0" applyNumberFormat="1" applyFont="1" applyBorder="1" applyAlignment="1">
      <alignment horizontal="center" vertical="center" shrinkToFit="1"/>
    </xf>
    <xf numFmtId="165" fontId="10" fillId="0" borderId="31" xfId="0" applyNumberFormat="1" applyFont="1" applyBorder="1" applyAlignment="1">
      <alignment horizontal="center" vertical="center" shrinkToFit="1"/>
    </xf>
    <xf numFmtId="165" fontId="10" fillId="0" borderId="12" xfId="0" applyNumberFormat="1" applyFont="1" applyBorder="1" applyAlignment="1">
      <alignment horizontal="center" vertical="center" shrinkToFit="1"/>
    </xf>
    <xf numFmtId="165" fontId="10" fillId="0" borderId="12" xfId="0" applyNumberFormat="1" applyFont="1" applyBorder="1" applyAlignment="1">
      <alignment horizontal="center" vertical="top" shrinkToFit="1"/>
    </xf>
    <xf numFmtId="0" fontId="9" fillId="0" borderId="13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shrinkToFit="1"/>
    </xf>
    <xf numFmtId="165" fontId="10" fillId="0" borderId="14" xfId="0" applyNumberFormat="1" applyFont="1" applyBorder="1" applyAlignment="1">
      <alignment horizontal="center" vertical="top" shrinkToFit="1"/>
    </xf>
    <xf numFmtId="0" fontId="9" fillId="0" borderId="62" xfId="0" applyFont="1" applyBorder="1" applyAlignment="1">
      <alignment horizontal="center" vertical="center" wrapText="1"/>
    </xf>
    <xf numFmtId="165" fontId="10" fillId="11" borderId="53" xfId="0" applyNumberFormat="1" applyFont="1" applyFill="1" applyBorder="1" applyAlignment="1">
      <alignment horizontal="center" vertical="center" shrinkToFit="1"/>
    </xf>
    <xf numFmtId="165" fontId="5" fillId="11" borderId="53" xfId="0" applyNumberFormat="1" applyFont="1" applyFill="1" applyBorder="1" applyAlignment="1">
      <alignment horizontal="center" vertical="center" shrinkToFit="1"/>
    </xf>
    <xf numFmtId="165" fontId="5" fillId="11" borderId="53" xfId="0" applyNumberFormat="1" applyFont="1" applyFill="1" applyBorder="1" applyAlignment="1">
      <alignment horizontal="center" vertical="top" shrinkToFit="1"/>
    </xf>
    <xf numFmtId="0" fontId="9" fillId="0" borderId="52" xfId="0" applyFont="1" applyBorder="1" applyAlignment="1">
      <alignment horizontal="center" vertical="center" wrapText="1"/>
    </xf>
    <xf numFmtId="165" fontId="10" fillId="5" borderId="55" xfId="0" applyNumberFormat="1" applyFont="1" applyFill="1" applyBorder="1" applyAlignment="1">
      <alignment horizontal="center" vertical="center" shrinkToFit="1"/>
    </xf>
    <xf numFmtId="165" fontId="5" fillId="5" borderId="55" xfId="0" applyNumberFormat="1" applyFont="1" applyFill="1" applyBorder="1" applyAlignment="1">
      <alignment horizontal="center" vertical="center" shrinkToFit="1"/>
    </xf>
    <xf numFmtId="165" fontId="5" fillId="5" borderId="55" xfId="0" applyNumberFormat="1" applyFont="1" applyFill="1" applyBorder="1" applyAlignment="1">
      <alignment horizontal="center" vertical="top" shrinkToFit="1"/>
    </xf>
    <xf numFmtId="165" fontId="5" fillId="0" borderId="58" xfId="0" applyNumberFormat="1" applyFont="1" applyBorder="1" applyAlignment="1">
      <alignment horizontal="center" vertical="center" shrinkToFit="1"/>
    </xf>
    <xf numFmtId="4" fontId="10" fillId="0" borderId="35" xfId="0" applyNumberFormat="1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4" fontId="10" fillId="0" borderId="36" xfId="0" applyNumberFormat="1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 wrapText="1"/>
    </xf>
    <xf numFmtId="4" fontId="14" fillId="12" borderId="3" xfId="0" applyNumberFormat="1" applyFont="1" applyFill="1" applyBorder="1" applyAlignment="1">
      <alignment horizontal="center"/>
    </xf>
    <xf numFmtId="4" fontId="10" fillId="0" borderId="27" xfId="0" applyNumberFormat="1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 wrapText="1"/>
    </xf>
    <xf numFmtId="4" fontId="14" fillId="12" borderId="5" xfId="0" applyNumberFormat="1" applyFont="1" applyFill="1" applyBorder="1" applyAlignment="1">
      <alignment horizontal="center"/>
    </xf>
    <xf numFmtId="4" fontId="10" fillId="0" borderId="56" xfId="0" applyNumberFormat="1" applyFont="1" applyBorder="1" applyAlignment="1">
      <alignment horizontal="center" vertical="center"/>
    </xf>
    <xf numFmtId="4" fontId="10" fillId="0" borderId="57" xfId="0" applyNumberFormat="1" applyFont="1" applyBorder="1" applyAlignment="1">
      <alignment horizontal="center" vertical="center"/>
    </xf>
    <xf numFmtId="4" fontId="10" fillId="0" borderId="61" xfId="0" applyNumberFormat="1" applyFont="1" applyBorder="1" applyAlignment="1">
      <alignment horizontal="center" vertical="center"/>
    </xf>
    <xf numFmtId="4" fontId="10" fillId="0" borderId="55" xfId="0" applyNumberFormat="1" applyFont="1" applyBorder="1" applyAlignment="1">
      <alignment horizontal="center" vertical="center" wrapText="1"/>
    </xf>
    <xf numFmtId="4" fontId="15" fillId="12" borderId="5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55" xfId="0" applyNumberFormat="1" applyFont="1" applyBorder="1" applyAlignment="1">
      <alignment horizontal="center" vertical="center"/>
    </xf>
    <xf numFmtId="4" fontId="10" fillId="0" borderId="37" xfId="0" applyNumberFormat="1" applyFont="1" applyBorder="1" applyAlignment="1">
      <alignment horizontal="center" vertical="center"/>
    </xf>
    <xf numFmtId="4" fontId="15" fillId="12" borderId="8" xfId="0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165" fontId="10" fillId="0" borderId="48" xfId="0" applyNumberFormat="1" applyFont="1" applyBorder="1" applyAlignment="1">
      <alignment horizontal="center" vertical="center" shrinkToFit="1"/>
    </xf>
    <xf numFmtId="165" fontId="10" fillId="0" borderId="51" xfId="0" applyNumberFormat="1" applyFont="1" applyBorder="1" applyAlignment="1">
      <alignment horizontal="center" vertical="center" shrinkToFit="1"/>
    </xf>
    <xf numFmtId="166" fontId="16" fillId="6" borderId="15" xfId="0" applyNumberFormat="1" applyFont="1" applyFill="1" applyBorder="1" applyAlignment="1">
      <alignment horizontal="center" vertical="center"/>
    </xf>
    <xf numFmtId="166" fontId="17" fillId="6" borderId="15" xfId="0" applyNumberFormat="1" applyFont="1" applyFill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33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42" fontId="18" fillId="0" borderId="25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8" fillId="11" borderId="30" xfId="0" applyFont="1" applyFill="1" applyBorder="1" applyAlignment="1">
      <alignment horizontal="center" vertical="top" wrapText="1"/>
    </xf>
    <xf numFmtId="0" fontId="8" fillId="2" borderId="3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9" fontId="9" fillId="0" borderId="26" xfId="0" applyNumberFormat="1" applyFont="1" applyBorder="1" applyAlignment="1">
      <alignment horizontal="center" vertical="center" wrapText="1"/>
    </xf>
    <xf numFmtId="165" fontId="8" fillId="11" borderId="7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166" fontId="3" fillId="13" borderId="15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/>
    </xf>
    <xf numFmtId="166" fontId="3" fillId="14" borderId="33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wrapText="1"/>
    </xf>
    <xf numFmtId="0" fontId="24" fillId="0" borderId="36" xfId="0" applyFont="1" applyBorder="1" applyAlignment="1">
      <alignment horizontal="center"/>
    </xf>
    <xf numFmtId="166" fontId="24" fillId="0" borderId="53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/>
    </xf>
    <xf numFmtId="166" fontId="24" fillId="0" borderId="54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/>
    </xf>
    <xf numFmtId="166" fontId="24" fillId="0" borderId="57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/>
    </xf>
    <xf numFmtId="166" fontId="24" fillId="0" borderId="65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9" fillId="0" borderId="6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164" fontId="9" fillId="0" borderId="14" xfId="0" applyNumberFormat="1" applyFont="1" applyBorder="1" applyAlignment="1">
      <alignment horizontal="left" vertical="top" wrapText="1"/>
    </xf>
    <xf numFmtId="0" fontId="9" fillId="0" borderId="62" xfId="0" applyFont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top" wrapText="1"/>
    </xf>
    <xf numFmtId="0" fontId="8" fillId="11" borderId="7" xfId="0" applyFont="1" applyFill="1" applyBorder="1" applyAlignment="1">
      <alignment horizontal="center" vertical="top" wrapText="1"/>
    </xf>
    <xf numFmtId="0" fontId="8" fillId="11" borderId="30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4" xfId="0" applyFont="1" applyFill="1" applyBorder="1" applyAlignment="1">
      <alignment horizontal="center" vertical="center" wrapText="1"/>
    </xf>
    <xf numFmtId="166" fontId="19" fillId="6" borderId="20" xfId="0" applyNumberFormat="1" applyFont="1" applyFill="1" applyBorder="1" applyAlignment="1">
      <alignment horizontal="center" vertical="center"/>
    </xf>
    <xf numFmtId="166" fontId="19" fillId="6" borderId="2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22" fillId="13" borderId="24" xfId="0" applyNumberFormat="1" applyFont="1" applyFill="1" applyBorder="1" applyAlignment="1">
      <alignment horizontal="center"/>
    </xf>
    <xf numFmtId="166" fontId="22" fillId="13" borderId="25" xfId="0" applyNumberFormat="1" applyFont="1" applyFill="1" applyBorder="1" applyAlignment="1">
      <alignment horizont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/>
    </xf>
    <xf numFmtId="0" fontId="3" fillId="13" borderId="51" xfId="0" applyFont="1" applyFill="1" applyBorder="1" applyAlignment="1">
      <alignment horizontal="center" vertical="center"/>
    </xf>
    <xf numFmtId="0" fontId="23" fillId="13" borderId="20" xfId="0" applyFont="1" applyFill="1" applyBorder="1" applyAlignment="1">
      <alignment horizontal="center"/>
    </xf>
    <xf numFmtId="0" fontId="23" fillId="13" borderId="25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165" fontId="10" fillId="0" borderId="18" xfId="0" applyNumberFormat="1" applyFont="1" applyBorder="1" applyAlignment="1">
      <alignment horizontal="center" vertical="center" shrinkToFit="1"/>
    </xf>
    <xf numFmtId="164" fontId="9" fillId="0" borderId="44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0" borderId="26" xfId="0" applyNumberFormat="1" applyFont="1" applyBorder="1" applyAlignment="1">
      <alignment horizontal="center" vertical="top" wrapText="1"/>
    </xf>
    <xf numFmtId="9" fontId="9" fillId="0" borderId="18" xfId="0" applyNumberFormat="1" applyFont="1" applyBorder="1" applyAlignment="1">
      <alignment horizontal="center" vertical="center" wrapText="1"/>
    </xf>
    <xf numFmtId="9" fontId="9" fillId="0" borderId="44" xfId="0" applyNumberFormat="1" applyFont="1" applyBorder="1" applyAlignment="1">
      <alignment horizontal="center" vertical="top" wrapText="1"/>
    </xf>
    <xf numFmtId="9" fontId="9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9" fontId="9" fillId="0" borderId="14" xfId="0" applyNumberFormat="1" applyFont="1" applyBorder="1" applyAlignment="1">
      <alignment horizontal="center" vertical="top" wrapText="1"/>
    </xf>
    <xf numFmtId="9" fontId="9" fillId="0" borderId="2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8" borderId="20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9" fontId="9" fillId="0" borderId="4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5</xdr:row>
      <xdr:rowOff>104775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70CA0E9B-C9C9-A13C-C1E7-E8E2D2788679}"/>
            </a:ext>
          </a:extLst>
        </xdr:cNvPr>
        <xdr:cNvSpPr>
          <a:spLocks noChangeAspect="1" noChangeArrowheads="1"/>
        </xdr:cNvSpPr>
      </xdr:nvSpPr>
      <xdr:spPr bwMode="auto">
        <a:xfrm>
          <a:off x="127158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87FC-1CC7-4B76-A2E7-CD994EB950AD}">
  <sheetPr>
    <pageSetUpPr fitToPage="1"/>
  </sheetPr>
  <dimension ref="B1:P75"/>
  <sheetViews>
    <sheetView tabSelected="1" topLeftCell="D48" zoomScale="91" zoomScaleNormal="91" workbookViewId="0">
      <selection activeCell="E69" sqref="E69:E70"/>
    </sheetView>
  </sheetViews>
  <sheetFormatPr defaultRowHeight="15.75" x14ac:dyDescent="0.25"/>
  <cols>
    <col min="2" max="2" width="29.140625" customWidth="1"/>
    <col min="3" max="3" width="35.140625" bestFit="1" customWidth="1"/>
    <col min="4" max="4" width="32.85546875" bestFit="1" customWidth="1"/>
    <col min="5" max="5" width="82.7109375" customWidth="1"/>
    <col min="6" max="6" width="38.7109375" style="268" bestFit="1" customWidth="1"/>
    <col min="7" max="7" width="17.85546875" bestFit="1" customWidth="1"/>
    <col min="8" max="8" width="21.7109375" bestFit="1" customWidth="1"/>
    <col min="9" max="9" width="17.28515625" bestFit="1" customWidth="1"/>
    <col min="10" max="10" width="21.7109375" bestFit="1" customWidth="1"/>
    <col min="11" max="11" width="26.140625" style="18" bestFit="1" customWidth="1"/>
    <col min="12" max="12" width="30.5703125" bestFit="1" customWidth="1"/>
  </cols>
  <sheetData>
    <row r="1" spans="2:16" ht="18.75" x14ac:dyDescent="0.25">
      <c r="B1" s="211" t="s">
        <v>74</v>
      </c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2:16" ht="15" x14ac:dyDescent="0.25">
      <c r="B2" s="214" t="s">
        <v>72</v>
      </c>
      <c r="C2" s="215"/>
      <c r="D2" s="215"/>
      <c r="E2" s="215"/>
      <c r="F2" s="215"/>
      <c r="G2" s="215"/>
      <c r="H2" s="215"/>
      <c r="I2" s="215"/>
      <c r="J2" s="215"/>
      <c r="K2" s="215"/>
      <c r="L2" s="216"/>
    </row>
    <row r="3" spans="2:16" ht="15" x14ac:dyDescent="0.25">
      <c r="B3" s="214" t="s"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6"/>
    </row>
    <row r="4" spans="2:16" ht="15" x14ac:dyDescent="0.25">
      <c r="B4" s="214" t="s">
        <v>73</v>
      </c>
      <c r="C4" s="215"/>
      <c r="D4" s="215"/>
      <c r="E4" s="215"/>
      <c r="F4" s="215"/>
      <c r="G4" s="215"/>
      <c r="H4" s="215"/>
      <c r="I4" s="215"/>
      <c r="J4" s="215"/>
      <c r="K4" s="215"/>
      <c r="L4" s="216"/>
    </row>
    <row r="5" spans="2:16" thickBot="1" x14ac:dyDescent="0.3">
      <c r="B5" s="217" t="s">
        <v>81</v>
      </c>
      <c r="C5" s="218"/>
      <c r="D5" s="218"/>
      <c r="E5" s="218"/>
      <c r="F5" s="218"/>
      <c r="G5" s="218"/>
      <c r="H5" s="218"/>
      <c r="I5" s="218"/>
      <c r="J5" s="218"/>
      <c r="K5" s="218"/>
      <c r="L5" s="219"/>
    </row>
    <row r="6" spans="2:16" ht="30" customHeight="1" thickBot="1" x14ac:dyDescent="0.3">
      <c r="B6" s="184" t="s">
        <v>99</v>
      </c>
      <c r="C6" s="185"/>
      <c r="D6" s="185"/>
      <c r="E6" s="185"/>
      <c r="F6" s="185"/>
      <c r="G6" s="185"/>
      <c r="H6" s="185"/>
      <c r="I6" s="185"/>
      <c r="J6" s="185"/>
      <c r="K6" s="185"/>
      <c r="L6" s="186"/>
    </row>
    <row r="7" spans="2:16" s="19" customFormat="1" ht="47.25" customHeight="1" thickBot="1" x14ac:dyDescent="0.3">
      <c r="B7" s="117"/>
      <c r="C7" s="118" t="s">
        <v>2</v>
      </c>
      <c r="D7" s="119" t="s">
        <v>3</v>
      </c>
      <c r="E7" s="21" t="s">
        <v>4</v>
      </c>
      <c r="F7" s="21" t="s">
        <v>5</v>
      </c>
      <c r="G7" s="21"/>
      <c r="H7" s="21" t="s">
        <v>6</v>
      </c>
      <c r="I7" s="22" t="s">
        <v>7</v>
      </c>
      <c r="J7" s="22" t="s">
        <v>8</v>
      </c>
      <c r="K7" s="23" t="s">
        <v>9</v>
      </c>
      <c r="L7" s="24" t="s">
        <v>10</v>
      </c>
    </row>
    <row r="8" spans="2:16" ht="18.75" customHeight="1" x14ac:dyDescent="0.25">
      <c r="B8" s="190" t="s">
        <v>11</v>
      </c>
      <c r="C8" s="120" t="s">
        <v>12</v>
      </c>
      <c r="D8" s="121" t="s">
        <v>13</v>
      </c>
      <c r="E8" s="121" t="s">
        <v>78</v>
      </c>
      <c r="F8" s="263">
        <v>0.75</v>
      </c>
      <c r="G8" s="25"/>
      <c r="H8" s="259">
        <v>30800</v>
      </c>
      <c r="I8" s="259">
        <f>H8*0.05</f>
        <v>1540</v>
      </c>
      <c r="J8" s="259">
        <f>I8+H8</f>
        <v>32340</v>
      </c>
      <c r="K8" s="26">
        <f>J8*0.75</f>
        <v>24255</v>
      </c>
      <c r="L8" s="27" t="s">
        <v>14</v>
      </c>
    </row>
    <row r="9" spans="2:16" x14ac:dyDescent="0.25">
      <c r="B9" s="191"/>
      <c r="C9" s="122" t="s">
        <v>79</v>
      </c>
      <c r="D9" s="123" t="s">
        <v>13</v>
      </c>
      <c r="E9" s="123" t="s">
        <v>80</v>
      </c>
      <c r="F9" s="264">
        <v>0.75</v>
      </c>
      <c r="G9" s="28"/>
      <c r="H9" s="29">
        <v>2625</v>
      </c>
      <c r="I9" s="29">
        <f t="shared" ref="I9:I19" si="0">H9*0.05</f>
        <v>131.25</v>
      </c>
      <c r="J9" s="29">
        <f t="shared" ref="J9:J17" si="1">I9+H9</f>
        <v>2756.25</v>
      </c>
      <c r="K9" s="29">
        <f t="shared" ref="K9:K11" si="2">J9*0.75</f>
        <v>2067.1875</v>
      </c>
      <c r="L9" s="30" t="s">
        <v>14</v>
      </c>
    </row>
    <row r="10" spans="2:16" x14ac:dyDescent="0.25">
      <c r="B10" s="191"/>
      <c r="C10" s="122" t="s">
        <v>15</v>
      </c>
      <c r="D10" s="123" t="s">
        <v>13</v>
      </c>
      <c r="E10" s="123" t="s">
        <v>88</v>
      </c>
      <c r="F10" s="264">
        <v>0.75</v>
      </c>
      <c r="G10" s="28"/>
      <c r="H10" s="29">
        <f>300.3*30</f>
        <v>9009</v>
      </c>
      <c r="I10" s="29">
        <f t="shared" si="0"/>
        <v>450.45000000000005</v>
      </c>
      <c r="J10" s="29">
        <f t="shared" si="1"/>
        <v>9459.4500000000007</v>
      </c>
      <c r="K10" s="29">
        <f t="shared" si="2"/>
        <v>7094.5875000000005</v>
      </c>
      <c r="L10" s="30" t="s">
        <v>14</v>
      </c>
    </row>
    <row r="11" spans="2:16" x14ac:dyDescent="0.25">
      <c r="B11" s="191"/>
      <c r="C11" s="122" t="s">
        <v>16</v>
      </c>
      <c r="D11" s="123" t="s">
        <v>13</v>
      </c>
      <c r="E11" s="123" t="s">
        <v>82</v>
      </c>
      <c r="F11" s="264">
        <v>0.75</v>
      </c>
      <c r="G11" s="28"/>
      <c r="H11" s="29">
        <f>((2*689)+(2*689))+1701.63</f>
        <v>4457.63</v>
      </c>
      <c r="I11" s="29">
        <f t="shared" si="0"/>
        <v>222.88150000000002</v>
      </c>
      <c r="J11" s="29">
        <f t="shared" si="1"/>
        <v>4680.5115000000005</v>
      </c>
      <c r="K11" s="29">
        <f t="shared" si="2"/>
        <v>3510.3836250000004</v>
      </c>
      <c r="L11" s="30" t="s">
        <v>17</v>
      </c>
    </row>
    <row r="12" spans="2:16" x14ac:dyDescent="0.25">
      <c r="B12" s="191"/>
      <c r="C12" s="122" t="s">
        <v>83</v>
      </c>
      <c r="D12" s="123" t="s">
        <v>13</v>
      </c>
      <c r="E12" s="123" t="s">
        <v>84</v>
      </c>
      <c r="F12" s="265" t="s">
        <v>85</v>
      </c>
      <c r="G12" s="28"/>
      <c r="H12" s="29">
        <f>10.75*600</f>
        <v>6450</v>
      </c>
      <c r="I12" s="29">
        <f t="shared" si="0"/>
        <v>322.5</v>
      </c>
      <c r="J12" s="29">
        <f t="shared" si="1"/>
        <v>6772.5</v>
      </c>
      <c r="K12" s="29">
        <f>11*350</f>
        <v>3850</v>
      </c>
      <c r="L12" s="30" t="s">
        <v>14</v>
      </c>
    </row>
    <row r="13" spans="2:16" x14ac:dyDescent="0.25">
      <c r="B13" s="191"/>
      <c r="C13" s="122" t="s">
        <v>18</v>
      </c>
      <c r="D13" s="123" t="s">
        <v>13</v>
      </c>
      <c r="E13" s="123" t="s">
        <v>87</v>
      </c>
      <c r="F13" s="264">
        <v>0.75</v>
      </c>
      <c r="G13" s="28"/>
      <c r="H13" s="29">
        <f>300.3*5</f>
        <v>1501.5</v>
      </c>
      <c r="I13" s="29">
        <f t="shared" si="0"/>
        <v>75.075000000000003</v>
      </c>
      <c r="J13" s="29">
        <f t="shared" si="1"/>
        <v>1576.575</v>
      </c>
      <c r="K13" s="29">
        <f>0.75*J13</f>
        <v>1182.4312500000001</v>
      </c>
      <c r="L13" s="30" t="s">
        <v>14</v>
      </c>
    </row>
    <row r="14" spans="2:16" x14ac:dyDescent="0.25">
      <c r="B14" s="191"/>
      <c r="C14" s="122" t="s">
        <v>86</v>
      </c>
      <c r="D14" s="123" t="s">
        <v>13</v>
      </c>
      <c r="E14" s="123" t="s">
        <v>19</v>
      </c>
      <c r="F14" s="264">
        <v>0.75</v>
      </c>
      <c r="G14" s="28"/>
      <c r="H14" s="29">
        <f>(80*24)</f>
        <v>1920</v>
      </c>
      <c r="I14" s="29">
        <f t="shared" si="0"/>
        <v>96</v>
      </c>
      <c r="J14" s="29">
        <f t="shared" si="1"/>
        <v>2016</v>
      </c>
      <c r="K14" s="29">
        <f>0.75*J14</f>
        <v>1512</v>
      </c>
      <c r="L14" s="30" t="s">
        <v>14</v>
      </c>
      <c r="P14" s="2"/>
    </row>
    <row r="15" spans="2:16" x14ac:dyDescent="0.25">
      <c r="B15" s="191"/>
      <c r="C15" s="122" t="s">
        <v>20</v>
      </c>
      <c r="D15" s="123" t="s">
        <v>21</v>
      </c>
      <c r="E15" s="123" t="s">
        <v>89</v>
      </c>
      <c r="F15" s="265" t="s">
        <v>22</v>
      </c>
      <c r="G15" s="28"/>
      <c r="H15" s="29">
        <f>9*350</f>
        <v>3150</v>
      </c>
      <c r="I15" s="29">
        <f t="shared" si="0"/>
        <v>157.5</v>
      </c>
      <c r="J15" s="29">
        <f t="shared" si="1"/>
        <v>3307.5</v>
      </c>
      <c r="K15" s="29">
        <f>9*110</f>
        <v>990</v>
      </c>
      <c r="L15" s="30" t="s">
        <v>23</v>
      </c>
      <c r="P15" s="2"/>
    </row>
    <row r="16" spans="2:16" x14ac:dyDescent="0.25">
      <c r="B16" s="191"/>
      <c r="C16" s="122" t="s">
        <v>24</v>
      </c>
      <c r="D16" s="123" t="s">
        <v>21</v>
      </c>
      <c r="E16" s="123" t="s">
        <v>90</v>
      </c>
      <c r="F16" s="264">
        <v>0.75</v>
      </c>
      <c r="G16" s="28"/>
      <c r="H16" s="29">
        <v>2250</v>
      </c>
      <c r="I16" s="29">
        <f t="shared" si="0"/>
        <v>112.5</v>
      </c>
      <c r="J16" s="29">
        <f t="shared" si="1"/>
        <v>2362.5</v>
      </c>
      <c r="K16" s="29">
        <f>0.75*J16</f>
        <v>1771.875</v>
      </c>
      <c r="L16" s="30" t="s">
        <v>23</v>
      </c>
      <c r="P16" s="2"/>
    </row>
    <row r="17" spans="2:16" x14ac:dyDescent="0.25">
      <c r="B17" s="191"/>
      <c r="C17" s="122" t="s">
        <v>25</v>
      </c>
      <c r="D17" s="123" t="s">
        <v>21</v>
      </c>
      <c r="E17" s="123" t="s">
        <v>91</v>
      </c>
      <c r="F17" s="265" t="s">
        <v>85</v>
      </c>
      <c r="G17" s="28"/>
      <c r="H17" s="29">
        <f>10.75*850</f>
        <v>9137.5</v>
      </c>
      <c r="I17" s="29">
        <f t="shared" si="0"/>
        <v>456.875</v>
      </c>
      <c r="J17" s="29">
        <f t="shared" si="1"/>
        <v>9594.375</v>
      </c>
      <c r="K17" s="29">
        <f>10.75*350</f>
        <v>3762.5</v>
      </c>
      <c r="L17" s="30" t="s">
        <v>23</v>
      </c>
      <c r="P17" s="2"/>
    </row>
    <row r="18" spans="2:16" x14ac:dyDescent="0.25">
      <c r="B18" s="191"/>
      <c r="C18" s="180" t="s">
        <v>26</v>
      </c>
      <c r="D18" s="181" t="s">
        <v>13</v>
      </c>
      <c r="E18" s="181" t="s">
        <v>92</v>
      </c>
      <c r="F18" s="266">
        <v>0.75</v>
      </c>
      <c r="G18" s="182"/>
      <c r="H18" s="260">
        <f>36*80</f>
        <v>2880</v>
      </c>
      <c r="I18" s="29">
        <f t="shared" si="0"/>
        <v>144</v>
      </c>
      <c r="J18" s="260">
        <v>3024</v>
      </c>
      <c r="K18" s="32">
        <f>H18*0.75</f>
        <v>2160</v>
      </c>
      <c r="L18" s="183" t="s">
        <v>14</v>
      </c>
      <c r="P18" s="2"/>
    </row>
    <row r="19" spans="2:16" ht="21" customHeight="1" thickBot="1" x14ac:dyDescent="0.3">
      <c r="B19" s="191"/>
      <c r="C19" s="124" t="s">
        <v>75</v>
      </c>
      <c r="D19" s="125" t="s">
        <v>76</v>
      </c>
      <c r="E19" s="125" t="s">
        <v>77</v>
      </c>
      <c r="F19" s="267" t="s">
        <v>36</v>
      </c>
      <c r="G19" s="31"/>
      <c r="H19" s="261">
        <v>2875</v>
      </c>
      <c r="I19" s="29">
        <f t="shared" si="0"/>
        <v>143.75</v>
      </c>
      <c r="J19" s="261">
        <f>I19+H19</f>
        <v>3018.75</v>
      </c>
      <c r="K19" s="32">
        <f>J19</f>
        <v>3018.75</v>
      </c>
      <c r="L19" s="33">
        <v>7958</v>
      </c>
      <c r="P19" s="2"/>
    </row>
    <row r="20" spans="2:16" ht="15.75" customHeight="1" thickBot="1" x14ac:dyDescent="0.3">
      <c r="B20" s="192"/>
      <c r="C20" s="187" t="s">
        <v>27</v>
      </c>
      <c r="D20" s="188"/>
      <c r="E20" s="189"/>
      <c r="F20" s="126"/>
      <c r="G20" s="34"/>
      <c r="H20" s="35">
        <f>SUM(H8:H19)</f>
        <v>77055.63</v>
      </c>
      <c r="I20" s="35">
        <f>SUM(I8:I19)</f>
        <v>3852.7814999999996</v>
      </c>
      <c r="J20" s="35">
        <f>SUM(J8:J19)</f>
        <v>80908.411499999987</v>
      </c>
      <c r="K20" s="36">
        <f>SUM(K8:K19)</f>
        <v>55174.714875000005</v>
      </c>
      <c r="L20" s="14"/>
    </row>
    <row r="21" spans="2:16" ht="15.75" customHeight="1" thickBot="1" x14ac:dyDescent="0.3">
      <c r="B21" s="4"/>
      <c r="C21" s="10"/>
      <c r="D21" s="10"/>
      <c r="E21" s="10"/>
      <c r="F21" s="10"/>
      <c r="G21" s="10"/>
      <c r="H21" s="10"/>
      <c r="I21" s="10"/>
      <c r="J21" s="10"/>
      <c r="K21" s="15"/>
      <c r="L21" s="11"/>
    </row>
    <row r="22" spans="2:16" s="19" customFormat="1" ht="42" customHeight="1" thickBot="1" x14ac:dyDescent="0.3">
      <c r="B22" s="114"/>
      <c r="C22" s="127" t="s">
        <v>2</v>
      </c>
      <c r="D22" s="119" t="s">
        <v>3</v>
      </c>
      <c r="E22" s="21" t="s">
        <v>4</v>
      </c>
      <c r="F22" s="21" t="s">
        <v>5</v>
      </c>
      <c r="G22" s="21"/>
      <c r="H22" s="21" t="s">
        <v>6</v>
      </c>
      <c r="I22" s="22" t="s">
        <v>7</v>
      </c>
      <c r="J22" s="22" t="s">
        <v>8</v>
      </c>
      <c r="K22" s="22" t="s">
        <v>9</v>
      </c>
      <c r="L22" s="37" t="s">
        <v>10</v>
      </c>
    </row>
    <row r="23" spans="2:16" ht="36" customHeight="1" thickBot="1" x14ac:dyDescent="0.3">
      <c r="B23" s="193" t="s">
        <v>28</v>
      </c>
      <c r="C23" s="128" t="s">
        <v>29</v>
      </c>
      <c r="D23" s="129" t="s">
        <v>30</v>
      </c>
      <c r="E23" s="130" t="s">
        <v>93</v>
      </c>
      <c r="F23" s="150">
        <v>1</v>
      </c>
      <c r="G23" s="38"/>
      <c r="H23" s="67">
        <f>(1866.78+3212.5+2659.36+3503.42)</f>
        <v>11242.06</v>
      </c>
      <c r="I23" s="68">
        <f>H23-(H23/1.13)</f>
        <v>1293.3343362831856</v>
      </c>
      <c r="J23" s="68">
        <f>H23</f>
        <v>11242.06</v>
      </c>
      <c r="K23" s="68">
        <f>J23</f>
        <v>11242.06</v>
      </c>
      <c r="L23" s="40" t="s">
        <v>31</v>
      </c>
    </row>
    <row r="24" spans="2:16" ht="15.75" customHeight="1" thickBot="1" x14ac:dyDescent="0.3">
      <c r="B24" s="192"/>
      <c r="C24" s="199" t="s">
        <v>32</v>
      </c>
      <c r="D24" s="200"/>
      <c r="E24" s="201"/>
      <c r="F24" s="131"/>
      <c r="G24" s="41"/>
      <c r="H24" s="41">
        <f>SUM(H23:H23)</f>
        <v>11242.06</v>
      </c>
      <c r="I24" s="41">
        <f t="shared" ref="I24:J24" si="3">SUM(I23:I23)</f>
        <v>1293.3343362831856</v>
      </c>
      <c r="J24" s="41">
        <f t="shared" si="3"/>
        <v>11242.06</v>
      </c>
      <c r="K24" s="42">
        <f>K23</f>
        <v>11242.06</v>
      </c>
      <c r="L24" s="43"/>
    </row>
    <row r="25" spans="2:16" ht="15.75" customHeight="1" thickBot="1" x14ac:dyDescent="0.3">
      <c r="B25" s="4"/>
      <c r="C25" s="12"/>
      <c r="D25" s="12"/>
      <c r="E25" s="12"/>
      <c r="F25" s="12"/>
      <c r="G25" s="12"/>
      <c r="H25" s="12"/>
      <c r="I25" s="12"/>
      <c r="J25" s="12"/>
      <c r="K25" s="16"/>
      <c r="L25" s="13"/>
    </row>
    <row r="26" spans="2:16" s="19" customFormat="1" ht="51" customHeight="1" thickBot="1" x14ac:dyDescent="0.3">
      <c r="B26" s="114"/>
      <c r="C26" s="127" t="s">
        <v>2</v>
      </c>
      <c r="D26" s="119" t="s">
        <v>3</v>
      </c>
      <c r="E26" s="21" t="s">
        <v>4</v>
      </c>
      <c r="F26" s="21" t="s">
        <v>5</v>
      </c>
      <c r="G26" s="21"/>
      <c r="H26" s="21" t="s">
        <v>6</v>
      </c>
      <c r="I26" s="22" t="s">
        <v>7</v>
      </c>
      <c r="J26" s="22" t="s">
        <v>8</v>
      </c>
      <c r="K26" s="22" t="s">
        <v>9</v>
      </c>
      <c r="L26" s="37" t="s">
        <v>10</v>
      </c>
    </row>
    <row r="27" spans="2:16" ht="49.5" customHeight="1" x14ac:dyDescent="0.25">
      <c r="B27" s="202" t="s">
        <v>33</v>
      </c>
      <c r="C27" s="132" t="s">
        <v>34</v>
      </c>
      <c r="D27" s="133" t="s">
        <v>35</v>
      </c>
      <c r="E27" s="134" t="s">
        <v>98</v>
      </c>
      <c r="F27" s="272">
        <v>1</v>
      </c>
      <c r="G27" s="44"/>
      <c r="H27" s="58">
        <f>2625+4312.5+46500+19758.8</f>
        <v>73196.3</v>
      </c>
      <c r="I27" s="103">
        <f>H27*0.05</f>
        <v>3659.8150000000005</v>
      </c>
      <c r="J27" s="103">
        <f>I27+H27</f>
        <v>76856.115000000005</v>
      </c>
      <c r="K27" s="103">
        <f>J27</f>
        <v>76856.115000000005</v>
      </c>
      <c r="L27" s="45" t="s">
        <v>94</v>
      </c>
    </row>
    <row r="28" spans="2:16" ht="66.75" customHeight="1" thickBot="1" x14ac:dyDescent="0.3">
      <c r="B28" s="202"/>
      <c r="C28" s="135" t="s">
        <v>37</v>
      </c>
      <c r="D28" s="136" t="s">
        <v>38</v>
      </c>
      <c r="E28" s="137" t="s">
        <v>95</v>
      </c>
      <c r="F28" s="262">
        <v>1</v>
      </c>
      <c r="G28" s="46"/>
      <c r="H28" s="258">
        <f>39.04*200*1.2274</f>
        <v>9583.5392000000011</v>
      </c>
      <c r="I28" s="104">
        <f>H28*0.051</f>
        <v>488.76049920000003</v>
      </c>
      <c r="J28" s="104">
        <f>I28+H28</f>
        <v>10072.299699200001</v>
      </c>
      <c r="K28" s="104">
        <f>J28</f>
        <v>10072.299699200001</v>
      </c>
      <c r="L28" s="47" t="s">
        <v>96</v>
      </c>
    </row>
    <row r="29" spans="2:16" ht="16.5" thickBot="1" x14ac:dyDescent="0.3">
      <c r="B29" s="192"/>
      <c r="C29" s="207" t="s">
        <v>39</v>
      </c>
      <c r="D29" s="208"/>
      <c r="E29" s="209"/>
      <c r="F29" s="138"/>
      <c r="G29" s="48"/>
      <c r="H29" s="49">
        <f>SUM(H27:H28)</f>
        <v>82779.839200000002</v>
      </c>
      <c r="I29" s="49">
        <f t="shared" ref="I29:J29" si="4">SUM(I27:I28)</f>
        <v>4148.5754992000002</v>
      </c>
      <c r="J29" s="49">
        <f t="shared" si="4"/>
        <v>86928.414699200002</v>
      </c>
      <c r="K29" s="50">
        <f>SUM(K27:K28)</f>
        <v>86928.414699200002</v>
      </c>
      <c r="L29" s="51"/>
    </row>
    <row r="30" spans="2:16" thickBot="1" x14ac:dyDescent="0.3">
      <c r="B30" s="203"/>
      <c r="C30" s="204"/>
      <c r="D30" s="204"/>
      <c r="E30" s="204"/>
      <c r="F30" s="204"/>
      <c r="G30" s="205"/>
      <c r="H30" s="205"/>
      <c r="I30" s="205"/>
      <c r="J30" s="205"/>
      <c r="K30" s="205"/>
      <c r="L30" s="206"/>
    </row>
    <row r="31" spans="2:16" s="19" customFormat="1" ht="76.5" customHeight="1" thickBot="1" x14ac:dyDescent="0.3">
      <c r="B31" s="20"/>
      <c r="C31" s="127" t="s">
        <v>2</v>
      </c>
      <c r="D31" s="119" t="s">
        <v>3</v>
      </c>
      <c r="E31" s="21" t="s">
        <v>4</v>
      </c>
      <c r="F31" s="21" t="s">
        <v>5</v>
      </c>
      <c r="G31" s="112" t="s">
        <v>40</v>
      </c>
      <c r="H31" s="21" t="s">
        <v>6</v>
      </c>
      <c r="I31" s="22" t="s">
        <v>7</v>
      </c>
      <c r="J31" s="22" t="s">
        <v>8</v>
      </c>
      <c r="K31" s="22" t="s">
        <v>9</v>
      </c>
      <c r="L31" s="113"/>
    </row>
    <row r="32" spans="2:16" ht="21" customHeight="1" thickBot="1" x14ac:dyDescent="0.3">
      <c r="B32" s="193" t="s">
        <v>41</v>
      </c>
      <c r="C32" s="128" t="s">
        <v>42</v>
      </c>
      <c r="D32" s="129" t="s">
        <v>13</v>
      </c>
      <c r="E32" s="130" t="s">
        <v>97</v>
      </c>
      <c r="F32" s="149" t="s">
        <v>43</v>
      </c>
      <c r="G32" s="67">
        <f>7599.73+6065.86</f>
        <v>13665.59</v>
      </c>
      <c r="H32" s="67">
        <f>G32*0.5</f>
        <v>6832.7950000000001</v>
      </c>
      <c r="I32" s="68">
        <f>H32*0.05</f>
        <v>341.63975000000005</v>
      </c>
      <c r="J32" s="68">
        <f>H32+I32</f>
        <v>7174.4347500000003</v>
      </c>
      <c r="K32" s="39">
        <v>0</v>
      </c>
      <c r="L32" s="52" t="s">
        <v>44</v>
      </c>
    </row>
    <row r="33" spans="2:12" ht="16.5" thickBot="1" x14ac:dyDescent="0.3">
      <c r="B33" s="192"/>
      <c r="C33" s="187" t="s">
        <v>45</v>
      </c>
      <c r="D33" s="188"/>
      <c r="E33" s="189"/>
      <c r="F33" s="126"/>
      <c r="G33" s="34">
        <f>SUM(G27:G32)</f>
        <v>13665.59</v>
      </c>
      <c r="H33" s="34">
        <f>SUM(H32:H32)</f>
        <v>6832.7950000000001</v>
      </c>
      <c r="I33" s="34">
        <f t="shared" ref="I33:J33" si="5">SUM(I32:I32)</f>
        <v>341.63975000000005</v>
      </c>
      <c r="J33" s="34">
        <f t="shared" si="5"/>
        <v>7174.4347500000003</v>
      </c>
      <c r="K33" s="35">
        <f>K32</f>
        <v>0</v>
      </c>
      <c r="L33" s="53"/>
    </row>
    <row r="34" spans="2:12" ht="16.5" thickBot="1" x14ac:dyDescent="0.3">
      <c r="B34" s="1"/>
      <c r="C34" s="210" t="s">
        <v>46</v>
      </c>
      <c r="D34" s="210"/>
      <c r="E34" s="210"/>
      <c r="F34" s="139"/>
      <c r="G34" s="54"/>
      <c r="H34" s="54">
        <f>SUM(H20,H33,H24,H29)</f>
        <v>177910.3242</v>
      </c>
      <c r="I34" s="54">
        <f t="shared" ref="I34:J34" si="6">SUM(I20,I33,I24,I29)</f>
        <v>9636.3310854831852</v>
      </c>
      <c r="J34" s="54">
        <f t="shared" si="6"/>
        <v>186253.32094919999</v>
      </c>
      <c r="K34" s="54">
        <f>SUM(K33,K29,K24,K20)</f>
        <v>153345.18957420002</v>
      </c>
      <c r="L34" s="55"/>
    </row>
    <row r="35" spans="2:12" x14ac:dyDescent="0.25">
      <c r="B35" s="5"/>
      <c r="C35" s="116"/>
      <c r="D35" s="116"/>
      <c r="E35" s="116"/>
      <c r="F35" s="116"/>
      <c r="G35" s="56"/>
      <c r="H35" s="56"/>
      <c r="I35" s="56"/>
      <c r="J35" s="56"/>
      <c r="K35" s="57"/>
      <c r="L35" s="56"/>
    </row>
    <row r="36" spans="2:12" ht="18" customHeight="1" thickBot="1" x14ac:dyDescent="0.3">
      <c r="B36" s="5"/>
      <c r="C36" s="116"/>
      <c r="D36" s="116"/>
      <c r="E36" s="116"/>
      <c r="F36" s="116"/>
      <c r="G36" s="56"/>
      <c r="H36" s="56"/>
      <c r="I36" s="56"/>
      <c r="J36" s="56"/>
      <c r="K36" s="57"/>
      <c r="L36" s="56"/>
    </row>
    <row r="37" spans="2:12" ht="48" customHeight="1" thickBot="1" x14ac:dyDescent="0.3">
      <c r="B37" s="269" t="s">
        <v>113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1"/>
    </row>
    <row r="38" spans="2:12" s="19" customFormat="1" ht="72" customHeight="1" thickBot="1" x14ac:dyDescent="0.3">
      <c r="B38" s="193" t="s">
        <v>47</v>
      </c>
      <c r="C38" s="127" t="s">
        <v>2</v>
      </c>
      <c r="D38" s="119" t="s">
        <v>3</v>
      </c>
      <c r="E38" s="21" t="s">
        <v>4</v>
      </c>
      <c r="F38" s="21" t="s">
        <v>5</v>
      </c>
      <c r="G38" s="21" t="s">
        <v>40</v>
      </c>
      <c r="H38" s="21" t="s">
        <v>6</v>
      </c>
      <c r="I38" s="22" t="s">
        <v>7</v>
      </c>
      <c r="J38" s="22" t="s">
        <v>8</v>
      </c>
      <c r="K38" s="22" t="s">
        <v>9</v>
      </c>
      <c r="L38" s="37" t="s">
        <v>10</v>
      </c>
    </row>
    <row r="39" spans="2:12" ht="15.75" customHeight="1" x14ac:dyDescent="0.25">
      <c r="B39" s="194"/>
      <c r="C39" s="140" t="s">
        <v>48</v>
      </c>
      <c r="D39" s="141" t="s">
        <v>49</v>
      </c>
      <c r="E39" s="141" t="s">
        <v>101</v>
      </c>
      <c r="F39" s="141" t="s">
        <v>100</v>
      </c>
      <c r="G39" s="58">
        <v>89392.5</v>
      </c>
      <c r="H39" s="58">
        <f>G39*0.1</f>
        <v>8939.25</v>
      </c>
      <c r="I39" s="58">
        <f>H39*0.05</f>
        <v>446.96250000000003</v>
      </c>
      <c r="J39" s="58">
        <f>SUM(H39:I39)</f>
        <v>9386.2124999999996</v>
      </c>
      <c r="K39" s="59">
        <f>0.1*(74*300)</f>
        <v>2220</v>
      </c>
      <c r="L39" s="60" t="s">
        <v>50</v>
      </c>
    </row>
    <row r="40" spans="2:12" ht="16.5" customHeight="1" thickBot="1" x14ac:dyDescent="0.3">
      <c r="B40" s="194"/>
      <c r="C40" s="142" t="s">
        <v>51</v>
      </c>
      <c r="D40" s="143" t="s">
        <v>49</v>
      </c>
      <c r="E40" s="144" t="s">
        <v>52</v>
      </c>
      <c r="F40" s="144" t="s">
        <v>102</v>
      </c>
      <c r="G40" s="61">
        <v>6300</v>
      </c>
      <c r="H40" s="61">
        <f>G40*0.1</f>
        <v>630</v>
      </c>
      <c r="I40" s="61">
        <f>H40*0.05</f>
        <v>31.5</v>
      </c>
      <c r="J40" s="61">
        <f>SUM(H40:I40)</f>
        <v>661.5</v>
      </c>
      <c r="K40" s="62">
        <f>0.1*(100*14)</f>
        <v>140</v>
      </c>
      <c r="L40" s="63" t="s">
        <v>50</v>
      </c>
    </row>
    <row r="41" spans="2:12" ht="16.5" thickBot="1" x14ac:dyDescent="0.3">
      <c r="B41" s="195"/>
      <c r="C41" s="196" t="s">
        <v>53</v>
      </c>
      <c r="D41" s="197"/>
      <c r="E41" s="198"/>
      <c r="F41" s="145"/>
      <c r="G41" s="64">
        <f>SUM(G39:G40)</f>
        <v>95692.5</v>
      </c>
      <c r="H41" s="64">
        <f>SUM(H39:H40)</f>
        <v>9569.25</v>
      </c>
      <c r="I41" s="64">
        <f t="shared" ref="I41:J41" si="7">SUM(I39:I40)</f>
        <v>478.46250000000003</v>
      </c>
      <c r="J41" s="64">
        <f t="shared" si="7"/>
        <v>10047.7125</v>
      </c>
      <c r="K41" s="35">
        <f>SUM(K39:K40)</f>
        <v>2360</v>
      </c>
      <c r="L41" s="65"/>
    </row>
    <row r="42" spans="2:12" ht="16.5" thickBot="1" x14ac:dyDescent="0.3">
      <c r="B42" s="146"/>
      <c r="C42" s="12"/>
      <c r="D42" s="12"/>
      <c r="E42" s="12"/>
      <c r="F42" s="12"/>
      <c r="G42" s="12"/>
      <c r="H42" s="12"/>
      <c r="I42" s="12"/>
      <c r="J42" s="12"/>
      <c r="K42" s="16"/>
      <c r="L42" s="13"/>
    </row>
    <row r="43" spans="2:12" ht="21" customHeight="1" thickBot="1" x14ac:dyDescent="0.3">
      <c r="B43" s="193" t="s">
        <v>54</v>
      </c>
      <c r="C43" s="127" t="s">
        <v>2</v>
      </c>
      <c r="D43" s="119" t="s">
        <v>3</v>
      </c>
      <c r="E43" s="21" t="s">
        <v>4</v>
      </c>
      <c r="F43" s="21" t="s">
        <v>5</v>
      </c>
      <c r="G43" s="21"/>
      <c r="H43" s="21" t="s">
        <v>6</v>
      </c>
      <c r="I43" s="22" t="s">
        <v>7</v>
      </c>
      <c r="J43" s="22" t="s">
        <v>8</v>
      </c>
      <c r="K43" s="66" t="s">
        <v>9</v>
      </c>
      <c r="L43" s="37" t="s">
        <v>10</v>
      </c>
    </row>
    <row r="44" spans="2:12" ht="18.75" customHeight="1" thickBot="1" x14ac:dyDescent="0.3">
      <c r="B44" s="202"/>
      <c r="C44" s="147" t="s">
        <v>103</v>
      </c>
      <c r="D44" s="148" t="s">
        <v>35</v>
      </c>
      <c r="E44" s="149" t="s">
        <v>105</v>
      </c>
      <c r="F44" s="150">
        <v>1</v>
      </c>
      <c r="G44" s="67"/>
      <c r="H44" s="67">
        <f>2.85*1875</f>
        <v>5343.75</v>
      </c>
      <c r="I44" s="68">
        <f>H44*0.05</f>
        <v>267.1875</v>
      </c>
      <c r="J44" s="68">
        <f>SUM(H44:I44)</f>
        <v>5610.9375</v>
      </c>
      <c r="K44" s="39">
        <f>J44</f>
        <v>5610.9375</v>
      </c>
      <c r="L44" s="52" t="s">
        <v>104</v>
      </c>
    </row>
    <row r="45" spans="2:12" ht="16.5" thickBot="1" x14ac:dyDescent="0.3">
      <c r="B45" s="192"/>
      <c r="C45" s="196" t="s">
        <v>56</v>
      </c>
      <c r="D45" s="197"/>
      <c r="E45" s="198"/>
      <c r="F45" s="145"/>
      <c r="G45" s="64"/>
      <c r="H45" s="64">
        <f>SUM(H44:H44)</f>
        <v>5343.75</v>
      </c>
      <c r="I45" s="64">
        <f t="shared" ref="I45:J45" si="8">SUM(I44:I44)</f>
        <v>267.1875</v>
      </c>
      <c r="J45" s="64">
        <f t="shared" si="8"/>
        <v>5610.9375</v>
      </c>
      <c r="K45" s="35">
        <f>K44</f>
        <v>5610.9375</v>
      </c>
      <c r="L45" s="65"/>
    </row>
    <row r="46" spans="2:12" ht="16.5" thickBot="1" x14ac:dyDescent="0.3">
      <c r="B46" s="3"/>
      <c r="C46" s="8"/>
      <c r="D46" s="8"/>
      <c r="E46" s="8"/>
      <c r="F46" s="8"/>
      <c r="G46" s="8"/>
      <c r="H46" s="8"/>
      <c r="I46" s="8"/>
      <c r="J46" s="8"/>
      <c r="K46" s="17"/>
      <c r="L46" s="9"/>
    </row>
    <row r="47" spans="2:12" ht="50.25" customHeight="1" thickBot="1" x14ac:dyDescent="0.3">
      <c r="B47" s="193" t="s">
        <v>57</v>
      </c>
      <c r="C47" s="127" t="s">
        <v>2</v>
      </c>
      <c r="D47" s="119" t="s">
        <v>3</v>
      </c>
      <c r="E47" s="21" t="s">
        <v>4</v>
      </c>
      <c r="F47" s="21" t="s">
        <v>5</v>
      </c>
      <c r="G47" s="21" t="s">
        <v>55</v>
      </c>
      <c r="H47" s="21" t="s">
        <v>6</v>
      </c>
      <c r="I47" s="22" t="s">
        <v>7</v>
      </c>
      <c r="J47" s="22" t="s">
        <v>8</v>
      </c>
      <c r="K47" s="22" t="s">
        <v>9</v>
      </c>
      <c r="L47" s="37" t="s">
        <v>10</v>
      </c>
    </row>
    <row r="48" spans="2:12" x14ac:dyDescent="0.25">
      <c r="B48" s="191"/>
      <c r="C48" s="140" t="s">
        <v>58</v>
      </c>
      <c r="D48" s="141" t="s">
        <v>49</v>
      </c>
      <c r="E48" s="141" t="s">
        <v>59</v>
      </c>
      <c r="F48" s="141" t="s">
        <v>60</v>
      </c>
      <c r="G48" s="58">
        <v>207.7</v>
      </c>
      <c r="H48" s="58">
        <f>G48*0.1</f>
        <v>20.77</v>
      </c>
      <c r="I48" s="58">
        <f>H48*0.05</f>
        <v>1.0385</v>
      </c>
      <c r="J48" s="58">
        <f>SUM(H48:I48)</f>
        <v>21.808499999999999</v>
      </c>
      <c r="K48" s="59">
        <f>0.6*335*0.1*1.05</f>
        <v>21.105000000000004</v>
      </c>
      <c r="L48" s="60" t="s">
        <v>50</v>
      </c>
    </row>
    <row r="49" spans="2:12" ht="15.75" customHeight="1" x14ac:dyDescent="0.25">
      <c r="B49" s="191"/>
      <c r="C49" s="151" t="s">
        <v>61</v>
      </c>
      <c r="D49" s="152" t="s">
        <v>49</v>
      </c>
      <c r="E49" s="152" t="s">
        <v>106</v>
      </c>
      <c r="F49" s="152" t="s">
        <v>62</v>
      </c>
      <c r="G49" s="69">
        <f>5584.15</f>
        <v>5584.15</v>
      </c>
      <c r="H49" s="69">
        <f>5584.15*0.1</f>
        <v>558.41499999999996</v>
      </c>
      <c r="I49" s="69">
        <f t="shared" ref="I49:I51" si="9">H49*0.05</f>
        <v>27.920749999999998</v>
      </c>
      <c r="J49" s="69">
        <f t="shared" ref="J49:J51" si="10">SUM(H49:I49)</f>
        <v>586.33574999999996</v>
      </c>
      <c r="K49" s="70">
        <v>0</v>
      </c>
      <c r="L49" s="71" t="s">
        <v>50</v>
      </c>
    </row>
    <row r="50" spans="2:12" ht="16.5" customHeight="1" x14ac:dyDescent="0.25">
      <c r="B50" s="191"/>
      <c r="C50" s="151" t="s">
        <v>107</v>
      </c>
      <c r="D50" s="152" t="s">
        <v>49</v>
      </c>
      <c r="E50" s="152" t="s">
        <v>108</v>
      </c>
      <c r="F50" s="152" t="s">
        <v>62</v>
      </c>
      <c r="G50" s="69">
        <f>1500</f>
        <v>1500</v>
      </c>
      <c r="H50" s="69">
        <f>0.05*G50</f>
        <v>75</v>
      </c>
      <c r="I50" s="69">
        <f t="shared" si="9"/>
        <v>3.75</v>
      </c>
      <c r="J50" s="69">
        <f t="shared" si="10"/>
        <v>78.75</v>
      </c>
      <c r="K50" s="70">
        <v>0</v>
      </c>
      <c r="L50" s="71" t="s">
        <v>50</v>
      </c>
    </row>
    <row r="51" spans="2:12" ht="16.5" thickBot="1" x14ac:dyDescent="0.3">
      <c r="B51" s="191"/>
      <c r="C51" s="142" t="s">
        <v>63</v>
      </c>
      <c r="D51" s="143" t="s">
        <v>49</v>
      </c>
      <c r="E51" s="143" t="s">
        <v>109</v>
      </c>
      <c r="F51" s="153">
        <v>1</v>
      </c>
      <c r="G51" s="72">
        <v>6555</v>
      </c>
      <c r="H51" s="72">
        <f>G51*0.5</f>
        <v>3277.5</v>
      </c>
      <c r="I51" s="72">
        <f t="shared" si="9"/>
        <v>163.875</v>
      </c>
      <c r="J51" s="72">
        <f t="shared" si="10"/>
        <v>3441.375</v>
      </c>
      <c r="K51" s="73">
        <f>J51</f>
        <v>3441.375</v>
      </c>
      <c r="L51" s="74">
        <v>6907</v>
      </c>
    </row>
    <row r="52" spans="2:12" ht="18" customHeight="1" thickBot="1" x14ac:dyDescent="0.3">
      <c r="B52" s="192"/>
      <c r="C52" s="196" t="s">
        <v>64</v>
      </c>
      <c r="D52" s="197"/>
      <c r="E52" s="198"/>
      <c r="F52" s="154"/>
      <c r="G52" s="75">
        <f>SUM(G48:G51)</f>
        <v>13846.849999999999</v>
      </c>
      <c r="H52" s="76">
        <f>SUM(H48:H51)</f>
        <v>3931.6849999999999</v>
      </c>
      <c r="I52" s="76">
        <f t="shared" ref="I52:J52" si="11">SUM(I48:I51)</f>
        <v>196.58425</v>
      </c>
      <c r="J52" s="76">
        <f t="shared" si="11"/>
        <v>4128.2692500000003</v>
      </c>
      <c r="K52" s="77">
        <f>SUM(K48:K51)</f>
        <v>3462.48</v>
      </c>
      <c r="L52" s="78"/>
    </row>
    <row r="53" spans="2:12" ht="16.5" thickBot="1" x14ac:dyDescent="0.3">
      <c r="B53" s="1"/>
      <c r="C53" s="224" t="s">
        <v>65</v>
      </c>
      <c r="D53" s="224"/>
      <c r="E53" s="224"/>
      <c r="F53" s="155"/>
      <c r="G53" s="79">
        <f>SUM(G41,G24,G52)</f>
        <v>109539.35</v>
      </c>
      <c r="H53" s="80">
        <f>SUM(H41,H52,H45)</f>
        <v>18844.684999999998</v>
      </c>
      <c r="I53" s="80">
        <f t="shared" ref="I53:J53" si="12">SUM(I41,I52,I45)</f>
        <v>942.23424999999997</v>
      </c>
      <c r="J53" s="80">
        <f t="shared" si="12"/>
        <v>19786.919249999999</v>
      </c>
      <c r="K53" s="81">
        <f>SUM(K52,K45,K41)</f>
        <v>11433.4175</v>
      </c>
      <c r="L53" s="82"/>
    </row>
    <row r="54" spans="2:12" ht="18.75" customHeight="1" x14ac:dyDescent="0.25">
      <c r="B54" s="5"/>
      <c r="C54" s="116"/>
      <c r="D54" s="116"/>
      <c r="E54" s="116"/>
      <c r="F54" s="116"/>
      <c r="G54" s="56"/>
      <c r="H54" s="56"/>
      <c r="I54" s="56"/>
      <c r="J54" s="56"/>
      <c r="K54" s="57"/>
      <c r="L54" s="56"/>
    </row>
    <row r="55" spans="2:12" ht="18.75" customHeight="1" thickBot="1" x14ac:dyDescent="0.3">
      <c r="B55" s="5"/>
      <c r="C55" s="116"/>
      <c r="D55" s="116"/>
      <c r="E55" s="116"/>
      <c r="F55" s="116"/>
      <c r="G55" s="56"/>
      <c r="H55" s="56"/>
      <c r="I55" s="56"/>
      <c r="J55" s="56"/>
      <c r="K55" s="57"/>
      <c r="L55" s="56"/>
    </row>
    <row r="56" spans="2:12" ht="45.75" customHeight="1" thickBot="1" x14ac:dyDescent="0.3">
      <c r="B56" s="234" t="s">
        <v>110</v>
      </c>
      <c r="C56" s="235"/>
      <c r="D56" s="235"/>
      <c r="E56" s="235"/>
      <c r="F56" s="235"/>
      <c r="G56" s="235"/>
      <c r="H56" s="160" t="s">
        <v>111</v>
      </c>
      <c r="I56" s="161" t="s">
        <v>67</v>
      </c>
      <c r="J56" s="161" t="s">
        <v>112</v>
      </c>
      <c r="K56" s="163" t="s">
        <v>69</v>
      </c>
      <c r="L56" s="162"/>
    </row>
    <row r="57" spans="2:12" ht="21.75" customHeight="1" x14ac:dyDescent="0.25">
      <c r="B57" s="156"/>
      <c r="C57" s="231" t="str">
        <f>B8</f>
        <v>1.1: RAB Drilling Production</v>
      </c>
      <c r="D57" s="232"/>
      <c r="E57" s="232"/>
      <c r="F57" s="233"/>
      <c r="G57" s="233"/>
      <c r="H57" s="83">
        <f>H20</f>
        <v>77055.63</v>
      </c>
      <c r="I57" s="84">
        <f t="shared" ref="I57:J57" si="13">I20</f>
        <v>3852.7814999999996</v>
      </c>
      <c r="J57" s="85">
        <f t="shared" si="13"/>
        <v>80908.411499999987</v>
      </c>
      <c r="K57" s="86">
        <f>K20</f>
        <v>55174.714875000005</v>
      </c>
      <c r="L57" s="87"/>
    </row>
    <row r="58" spans="2:12" ht="21.75" customHeight="1" x14ac:dyDescent="0.25">
      <c r="B58" s="157"/>
      <c r="C58" s="228" t="str">
        <f>B23</f>
        <v>1.2: Assays  and Shipping</v>
      </c>
      <c r="D58" s="229"/>
      <c r="E58" s="229"/>
      <c r="F58" s="230"/>
      <c r="G58" s="230"/>
      <c r="H58" s="88">
        <f>H24</f>
        <v>11242.06</v>
      </c>
      <c r="I58" s="89">
        <f t="shared" ref="I58:J58" si="14">I24</f>
        <v>1293.3343362831856</v>
      </c>
      <c r="J58" s="90">
        <f t="shared" si="14"/>
        <v>11242.06</v>
      </c>
      <c r="K58" s="91">
        <f>K24</f>
        <v>11242.06</v>
      </c>
      <c r="L58" s="92"/>
    </row>
    <row r="59" spans="2:12" ht="19.5" customHeight="1" x14ac:dyDescent="0.25">
      <c r="B59" s="157"/>
      <c r="C59" s="228" t="str">
        <f>B27</f>
        <v>1.3: Helicopter, Transport, fuel</v>
      </c>
      <c r="D59" s="229"/>
      <c r="E59" s="229"/>
      <c r="F59" s="230"/>
      <c r="G59" s="230"/>
      <c r="H59" s="88">
        <f>H29</f>
        <v>82779.839200000002</v>
      </c>
      <c r="I59" s="89">
        <f t="shared" ref="I59:J59" si="15">I29</f>
        <v>4148.5754992000002</v>
      </c>
      <c r="J59" s="90">
        <f t="shared" si="15"/>
        <v>86928.414699200002</v>
      </c>
      <c r="K59" s="91">
        <f>K29</f>
        <v>86928.414699200002</v>
      </c>
      <c r="L59" s="92"/>
    </row>
    <row r="60" spans="2:12" ht="19.5" customHeight="1" thickBot="1" x14ac:dyDescent="0.3">
      <c r="B60" s="157"/>
      <c r="C60" s="228" t="str">
        <f>B32</f>
        <v>1.4: Crew Travel</v>
      </c>
      <c r="D60" s="229"/>
      <c r="E60" s="229"/>
      <c r="F60" s="230"/>
      <c r="G60" s="230"/>
      <c r="H60" s="93">
        <f>H33</f>
        <v>6832.7950000000001</v>
      </c>
      <c r="I60" s="94">
        <f t="shared" ref="I60:J60" si="16">I33</f>
        <v>341.63975000000005</v>
      </c>
      <c r="J60" s="95">
        <f t="shared" si="16"/>
        <v>7174.4347500000003</v>
      </c>
      <c r="K60" s="96">
        <f>K33</f>
        <v>0</v>
      </c>
      <c r="L60" s="92"/>
    </row>
    <row r="61" spans="2:12" ht="19.5" customHeight="1" thickBot="1" x14ac:dyDescent="0.3">
      <c r="B61" s="157"/>
      <c r="C61" s="225" t="str">
        <f>B6</f>
        <v>1.0: RAB Drilling - Groundtruth Drilling, GroundTruth Exploration, Bureau Veritas, Great Slave Helicopters, Tintina Air</v>
      </c>
      <c r="D61" s="226"/>
      <c r="E61" s="226"/>
      <c r="F61" s="227"/>
      <c r="G61" s="227"/>
      <c r="H61" s="107">
        <f>H34</f>
        <v>177910.3242</v>
      </c>
      <c r="I61" s="108">
        <f t="shared" ref="I61:J61" si="17">I34</f>
        <v>9636.3310854831852</v>
      </c>
      <c r="J61" s="109">
        <f t="shared" si="17"/>
        <v>186253.32094919999</v>
      </c>
      <c r="K61" s="110">
        <f>K34</f>
        <v>153345.18957420002</v>
      </c>
      <c r="L61" s="97"/>
    </row>
    <row r="62" spans="2:12" ht="19.5" customHeight="1" x14ac:dyDescent="0.25">
      <c r="B62" s="158"/>
      <c r="C62" s="220" t="str">
        <f>B38</f>
        <v>2.1: Pad Building Labour</v>
      </c>
      <c r="D62" s="221"/>
      <c r="E62" s="221"/>
      <c r="F62" s="221"/>
      <c r="G62" s="221"/>
      <c r="H62" s="83">
        <f>H41</f>
        <v>9569.25</v>
      </c>
      <c r="I62" s="84">
        <f t="shared" ref="I62:J62" si="18">I41</f>
        <v>478.46250000000003</v>
      </c>
      <c r="J62" s="85">
        <f t="shared" si="18"/>
        <v>10047.7125</v>
      </c>
      <c r="K62" s="86">
        <f>K41</f>
        <v>2360</v>
      </c>
      <c r="L62" s="92"/>
    </row>
    <row r="63" spans="2:12" ht="19.5" customHeight="1" x14ac:dyDescent="0.25">
      <c r="B63" s="158"/>
      <c r="C63" s="242" t="str">
        <f>B43</f>
        <v>2.2: Helicopter</v>
      </c>
      <c r="D63" s="243"/>
      <c r="E63" s="243"/>
      <c r="F63" s="243"/>
      <c r="G63" s="243"/>
      <c r="H63" s="88">
        <f>H45</f>
        <v>5343.75</v>
      </c>
      <c r="I63" s="89">
        <f t="shared" ref="I63:J63" si="19">I45</f>
        <v>267.1875</v>
      </c>
      <c r="J63" s="90">
        <f t="shared" si="19"/>
        <v>5610.9375</v>
      </c>
      <c r="K63" s="91">
        <f>K45</f>
        <v>5610.9375</v>
      </c>
      <c r="L63" s="92"/>
    </row>
    <row r="64" spans="2:12" ht="19.5" customHeight="1" thickBot="1" x14ac:dyDescent="0.3">
      <c r="B64" s="158"/>
      <c r="C64" s="242" t="str">
        <f>B47</f>
        <v>2.3: Crew Travel/Mobilization</v>
      </c>
      <c r="D64" s="243"/>
      <c r="E64" s="243"/>
      <c r="F64" s="243"/>
      <c r="G64" s="243"/>
      <c r="H64" s="98">
        <f>H52</f>
        <v>3931.6849999999999</v>
      </c>
      <c r="I64" s="99">
        <f t="shared" ref="I64:J64" si="20">I52</f>
        <v>196.58425</v>
      </c>
      <c r="J64" s="100">
        <f t="shared" si="20"/>
        <v>4128.2692500000003</v>
      </c>
      <c r="K64" s="96">
        <f>K52</f>
        <v>3462.48</v>
      </c>
      <c r="L64" s="92"/>
    </row>
    <row r="65" spans="2:12" ht="30" customHeight="1" thickBot="1" x14ac:dyDescent="0.3">
      <c r="B65" s="159"/>
      <c r="C65" s="240" t="str">
        <f>B37</f>
        <v>2.0 Pad Building - Minconsult Exploration Services, Great Slave Helicopters.</v>
      </c>
      <c r="D65" s="241"/>
      <c r="E65" s="241"/>
      <c r="F65" s="241"/>
      <c r="G65" s="241"/>
      <c r="H65" s="107">
        <f>H53</f>
        <v>18844.684999999998</v>
      </c>
      <c r="I65" s="108">
        <f t="shared" ref="I65:J65" si="21">I53</f>
        <v>942.23424999999997</v>
      </c>
      <c r="J65" s="109">
        <f t="shared" si="21"/>
        <v>19786.919249999999</v>
      </c>
      <c r="K65" s="111">
        <f>K53</f>
        <v>11433.4175</v>
      </c>
      <c r="L65" s="101"/>
    </row>
    <row r="66" spans="2:12" ht="57" customHeight="1" thickBot="1" x14ac:dyDescent="0.3">
      <c r="B66" s="222" t="s">
        <v>114</v>
      </c>
      <c r="C66" s="223"/>
      <c r="D66" s="223"/>
      <c r="E66" s="223"/>
      <c r="F66" s="223"/>
      <c r="G66" s="223"/>
      <c r="H66" s="105">
        <f>SUM(H61,H65)</f>
        <v>196755.0092</v>
      </c>
      <c r="I66" s="105">
        <f t="shared" ref="I66:K66" si="22">SUM(I61,I65)</f>
        <v>10578.565335483185</v>
      </c>
      <c r="J66" s="106">
        <f t="shared" si="22"/>
        <v>206040.24019919999</v>
      </c>
      <c r="K66" s="236">
        <f t="shared" si="22"/>
        <v>164778.60707420003</v>
      </c>
      <c r="L66" s="237"/>
    </row>
    <row r="67" spans="2:12" ht="16.5" thickBot="1" x14ac:dyDescent="0.3">
      <c r="B67" s="7"/>
    </row>
    <row r="68" spans="2:12" ht="36.75" thickBot="1" x14ac:dyDescent="0.6">
      <c r="H68" s="6"/>
      <c r="I68" s="6"/>
      <c r="J68" s="238" t="s">
        <v>71</v>
      </c>
      <c r="K68" s="239"/>
      <c r="L68" s="115">
        <v>50000</v>
      </c>
    </row>
    <row r="70" spans="2:12" ht="18.75" customHeight="1" x14ac:dyDescent="0.25"/>
    <row r="71" spans="2:12" ht="15" customHeight="1" x14ac:dyDescent="0.25"/>
    <row r="72" spans="2:12" ht="15" customHeight="1" x14ac:dyDescent="0.25">
      <c r="L72" s="102"/>
    </row>
    <row r="73" spans="2:12" ht="19.5" customHeight="1" x14ac:dyDescent="0.25"/>
    <row r="74" spans="2:12" ht="19.5" customHeight="1" x14ac:dyDescent="0.25"/>
    <row r="75" spans="2:12" ht="19.5" customHeight="1" x14ac:dyDescent="0.25"/>
  </sheetData>
  <mergeCells count="37">
    <mergeCell ref="K66:L66"/>
    <mergeCell ref="J68:K68"/>
    <mergeCell ref="C65:G65"/>
    <mergeCell ref="C64:G64"/>
    <mergeCell ref="C63:G63"/>
    <mergeCell ref="C62:G62"/>
    <mergeCell ref="B66:G66"/>
    <mergeCell ref="B43:B45"/>
    <mergeCell ref="C45:E45"/>
    <mergeCell ref="C53:E53"/>
    <mergeCell ref="C61:G61"/>
    <mergeCell ref="C60:G60"/>
    <mergeCell ref="C59:G59"/>
    <mergeCell ref="C58:G58"/>
    <mergeCell ref="C57:G57"/>
    <mergeCell ref="B56:G56"/>
    <mergeCell ref="B47:B52"/>
    <mergeCell ref="C52:E52"/>
    <mergeCell ref="B1:L1"/>
    <mergeCell ref="B2:L2"/>
    <mergeCell ref="B3:L3"/>
    <mergeCell ref="B4:L4"/>
    <mergeCell ref="B5:L5"/>
    <mergeCell ref="B6:L6"/>
    <mergeCell ref="C20:E20"/>
    <mergeCell ref="C33:E33"/>
    <mergeCell ref="B8:B20"/>
    <mergeCell ref="B38:B41"/>
    <mergeCell ref="C41:E41"/>
    <mergeCell ref="C24:E24"/>
    <mergeCell ref="B27:B29"/>
    <mergeCell ref="B30:L30"/>
    <mergeCell ref="C29:E29"/>
    <mergeCell ref="B23:B24"/>
    <mergeCell ref="B32:B33"/>
    <mergeCell ref="C34:E34"/>
    <mergeCell ref="B37:L37"/>
  </mergeCells>
  <pageMargins left="0.25" right="0.25" top="0.75" bottom="0.75" header="0.3" footer="0.3"/>
  <pageSetup scale="32" orientation="landscape" horizontalDpi="1200" verticalDpi="1200" r:id="rId1"/>
  <ignoredErrors>
    <ignoredError sqref="K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8D2F-B268-462E-839F-A805F9C33A47}">
  <dimension ref="C2:F15"/>
  <sheetViews>
    <sheetView topLeftCell="A2" workbookViewId="0">
      <selection activeCell="D24" sqref="D24"/>
    </sheetView>
  </sheetViews>
  <sheetFormatPr defaultRowHeight="15" x14ac:dyDescent="0.25"/>
  <cols>
    <col min="3" max="3" width="22.85546875" customWidth="1"/>
    <col min="4" max="4" width="80.7109375" customWidth="1"/>
    <col min="5" max="5" width="16.7109375" customWidth="1"/>
    <col min="6" max="6" width="18.28515625" customWidth="1"/>
    <col min="7" max="9" width="9.140625" customWidth="1"/>
  </cols>
  <sheetData>
    <row r="2" spans="3:6" ht="15.75" thickBot="1" x14ac:dyDescent="0.3"/>
    <row r="3" spans="3:6" s="164" customFormat="1" ht="30.75" thickBot="1" x14ac:dyDescent="0.3">
      <c r="C3" s="246" t="s">
        <v>66</v>
      </c>
      <c r="D3" s="247"/>
      <c r="E3" s="165" t="s">
        <v>68</v>
      </c>
      <c r="F3" s="165" t="s">
        <v>69</v>
      </c>
    </row>
    <row r="4" spans="3:6" x14ac:dyDescent="0.25">
      <c r="C4" s="255"/>
      <c r="D4" s="170" t="s">
        <v>11</v>
      </c>
      <c r="E4" s="171">
        <v>58878.728999999999</v>
      </c>
      <c r="F4" s="171">
        <v>39421.546749999994</v>
      </c>
    </row>
    <row r="5" spans="3:6" x14ac:dyDescent="0.25">
      <c r="C5" s="256"/>
      <c r="D5" s="172" t="s">
        <v>28</v>
      </c>
      <c r="E5" s="173">
        <v>11332.905599999998</v>
      </c>
      <c r="F5" s="173">
        <v>11332.905599999998</v>
      </c>
    </row>
    <row r="6" spans="3:6" x14ac:dyDescent="0.25">
      <c r="C6" s="256"/>
      <c r="D6" s="172" t="s">
        <v>33</v>
      </c>
      <c r="E6" s="173">
        <v>74308.218208000006</v>
      </c>
      <c r="F6" s="173">
        <v>74308.218208000006</v>
      </c>
    </row>
    <row r="7" spans="3:6" ht="15.75" thickBot="1" x14ac:dyDescent="0.3">
      <c r="C7" s="256"/>
      <c r="D7" s="174" t="s">
        <v>41</v>
      </c>
      <c r="E7" s="175">
        <v>7174.450499999999</v>
      </c>
      <c r="F7" s="175">
        <v>0</v>
      </c>
    </row>
    <row r="8" spans="3:6" ht="34.5" customHeight="1" thickBot="1" x14ac:dyDescent="0.3">
      <c r="C8" s="256"/>
      <c r="D8" s="169" t="s">
        <v>1</v>
      </c>
      <c r="E8" s="168">
        <v>151694.303308</v>
      </c>
      <c r="F8" s="168">
        <v>125062.670558</v>
      </c>
    </row>
    <row r="9" spans="3:6" x14ac:dyDescent="0.25">
      <c r="C9" s="256"/>
      <c r="D9" s="176" t="s">
        <v>47</v>
      </c>
      <c r="E9" s="177">
        <v>5023.8562499999998</v>
      </c>
      <c r="F9" s="177">
        <v>1180</v>
      </c>
    </row>
    <row r="10" spans="3:6" x14ac:dyDescent="0.25">
      <c r="C10" s="256"/>
      <c r="D10" s="178" t="s">
        <v>54</v>
      </c>
      <c r="E10" s="173">
        <v>8071.875</v>
      </c>
      <c r="F10" s="173">
        <v>8071.875</v>
      </c>
    </row>
    <row r="11" spans="3:6" ht="15.75" thickBot="1" x14ac:dyDescent="0.3">
      <c r="C11" s="256"/>
      <c r="D11" s="179" t="s">
        <v>57</v>
      </c>
      <c r="E11" s="175">
        <v>3824.1971250000001</v>
      </c>
      <c r="F11" s="175">
        <v>3451.4250000000002</v>
      </c>
    </row>
    <row r="12" spans="3:6" ht="15.75" thickBot="1" x14ac:dyDescent="0.3">
      <c r="C12" s="257"/>
      <c r="D12" s="167" t="s">
        <v>65</v>
      </c>
      <c r="E12" s="168">
        <v>16919.928375</v>
      </c>
      <c r="F12" s="168">
        <v>12703.3</v>
      </c>
    </row>
    <row r="13" spans="3:6" ht="27" customHeight="1" thickBot="1" x14ac:dyDescent="0.3">
      <c r="C13" s="248" t="s">
        <v>70</v>
      </c>
      <c r="D13" s="249"/>
      <c r="E13" s="166">
        <v>168614.23168299999</v>
      </c>
      <c r="F13" s="166">
        <v>137765.970558</v>
      </c>
    </row>
    <row r="14" spans="3:6" ht="15.75" thickBot="1" x14ac:dyDescent="0.3">
      <c r="C14" s="252"/>
      <c r="D14" s="253"/>
      <c r="E14" s="253"/>
      <c r="F14" s="254"/>
    </row>
    <row r="15" spans="3:6" ht="15.75" thickBot="1" x14ac:dyDescent="0.3">
      <c r="C15" s="250" t="s">
        <v>71</v>
      </c>
      <c r="D15" s="251"/>
      <c r="E15" s="244">
        <v>50000</v>
      </c>
      <c r="F15" s="245"/>
    </row>
  </sheetData>
  <mergeCells count="6">
    <mergeCell ref="E15:F15"/>
    <mergeCell ref="C3:D3"/>
    <mergeCell ref="C13:D13"/>
    <mergeCell ref="C15:D15"/>
    <mergeCell ref="C14:F14"/>
    <mergeCell ref="C4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 Cost statement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GTAdmin</dc:creator>
  <cp:keywords/>
  <dc:description/>
  <cp:lastModifiedBy>Steven Walsh</cp:lastModifiedBy>
  <cp:revision/>
  <dcterms:created xsi:type="dcterms:W3CDTF">2022-01-26T19:38:46Z</dcterms:created>
  <dcterms:modified xsi:type="dcterms:W3CDTF">2023-12-06T20:06:00Z</dcterms:modified>
  <cp:category/>
  <cp:contentStatus/>
</cp:coreProperties>
</file>