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 Cie Backups\COVID19 La Cie\Chromite TGI\2019-2020 Reporting\March 15 2020 Submission\"/>
    </mc:Choice>
  </mc:AlternateContent>
  <xr:revisionPtr revIDLastSave="0" documentId="13_ncr:1_{9B5850D3-48D5-4FBE-9D34-3C962CD313AC}" xr6:coauthVersionLast="45" xr6:coauthVersionMax="45" xr10:uidLastSave="{00000000-0000-0000-0000-000000000000}"/>
  <bookViews>
    <workbookView xWindow="-120" yWindow="-120" windowWidth="29040" windowHeight="15840" tabRatio="707" activeTab="5" xr2:uid="{7DD403D9-2B7D-4879-9A81-282170DA23EF}"/>
  </bookViews>
  <sheets>
    <sheet name="Table A3 olivine EPMA" sheetId="4" r:id="rId1"/>
    <sheet name="Table A4 olivine LA-ICP-MS" sheetId="2" r:id="rId2"/>
    <sheet name="Table A5 chromite EPMA" sheetId="3" r:id="rId3"/>
    <sheet name="Table A6 glass EPMA" sheetId="5" r:id="rId4"/>
    <sheet name="Table A7 glass LA-ICP-MS" sheetId="6" r:id="rId5"/>
    <sheet name="Table A8 BIR BHVO comparison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5" l="1"/>
  <c r="P5" i="5"/>
  <c r="N19" i="5"/>
  <c r="N17" i="5"/>
  <c r="N15" i="5"/>
  <c r="N13" i="5"/>
  <c r="N11" i="5"/>
  <c r="N9" i="5"/>
  <c r="N7" i="5"/>
  <c r="N5" i="5"/>
  <c r="N3" i="5"/>
  <c r="F21" i="7" l="1"/>
  <c r="F20" i="7"/>
  <c r="AB18" i="7"/>
  <c r="AB21" i="7" s="1"/>
  <c r="AA18" i="7"/>
  <c r="AA21" i="7" s="1"/>
  <c r="Z18" i="7"/>
  <c r="Z21" i="7" s="1"/>
  <c r="Y18" i="7"/>
  <c r="Y21" i="7" s="1"/>
  <c r="X18" i="7"/>
  <c r="X21" i="7" s="1"/>
  <c r="W18" i="7"/>
  <c r="W21" i="7" s="1"/>
  <c r="V18" i="7"/>
  <c r="U18" i="7"/>
  <c r="U21" i="7" s="1"/>
  <c r="T18" i="7"/>
  <c r="T21" i="7" s="1"/>
  <c r="S18" i="7"/>
  <c r="S21" i="7" s="1"/>
  <c r="R18" i="7"/>
  <c r="R21" i="7" s="1"/>
  <c r="Q18" i="7"/>
  <c r="Q21" i="7" s="1"/>
  <c r="P18" i="7"/>
  <c r="P21" i="7" s="1"/>
  <c r="O18" i="7"/>
  <c r="O21" i="7" s="1"/>
  <c r="N18" i="7"/>
  <c r="N21" i="7" s="1"/>
  <c r="M18" i="7"/>
  <c r="M21" i="7" s="1"/>
  <c r="L18" i="7"/>
  <c r="L21" i="7" s="1"/>
  <c r="K18" i="7"/>
  <c r="K21" i="7" s="1"/>
  <c r="J18" i="7"/>
  <c r="J21" i="7" s="1"/>
  <c r="I18" i="7"/>
  <c r="I21" i="7" s="1"/>
  <c r="H18" i="7"/>
  <c r="H21" i="7" s="1"/>
  <c r="G18" i="7"/>
  <c r="G21" i="7" s="1"/>
  <c r="F18" i="7"/>
  <c r="E18" i="7"/>
  <c r="E21" i="7" s="1"/>
  <c r="D18" i="7"/>
  <c r="D21" i="7" s="1"/>
  <c r="AB17" i="7"/>
  <c r="AB20" i="7" s="1"/>
  <c r="AA17" i="7"/>
  <c r="AA20" i="7" s="1"/>
  <c r="Z17" i="7"/>
  <c r="Z20" i="7" s="1"/>
  <c r="X17" i="7"/>
  <c r="X20" i="7" s="1"/>
  <c r="W17" i="7"/>
  <c r="W20" i="7" s="1"/>
  <c r="U17" i="7"/>
  <c r="U20" i="7" s="1"/>
  <c r="T17" i="7"/>
  <c r="T20" i="7" s="1"/>
  <c r="S17" i="7"/>
  <c r="S20" i="7" s="1"/>
  <c r="R17" i="7"/>
  <c r="R20" i="7" s="1"/>
  <c r="Q17" i="7"/>
  <c r="Q20" i="7" s="1"/>
  <c r="P17" i="7"/>
  <c r="P20" i="7" s="1"/>
  <c r="O17" i="7"/>
  <c r="O20" i="7" s="1"/>
  <c r="N17" i="7"/>
  <c r="N20" i="7" s="1"/>
  <c r="M17" i="7"/>
  <c r="M20" i="7" s="1"/>
  <c r="L17" i="7"/>
  <c r="L20" i="7" s="1"/>
  <c r="K17" i="7"/>
  <c r="K20" i="7" s="1"/>
  <c r="J17" i="7"/>
  <c r="J20" i="7" s="1"/>
  <c r="I17" i="7"/>
  <c r="I20" i="7" s="1"/>
  <c r="H17" i="7"/>
  <c r="H20" i="7" s="1"/>
  <c r="G17" i="7"/>
  <c r="G20" i="7" s="1"/>
  <c r="F17" i="7"/>
  <c r="E17" i="7"/>
  <c r="E20" i="7" s="1"/>
  <c r="D17" i="7"/>
  <c r="D20" i="7" s="1"/>
  <c r="W10" i="7"/>
  <c r="AC8" i="7"/>
  <c r="AC11" i="7" s="1"/>
  <c r="AB8" i="7"/>
  <c r="AB11" i="7" s="1"/>
  <c r="AA8" i="7"/>
  <c r="AA11" i="7" s="1"/>
  <c r="Z8" i="7"/>
  <c r="Z11" i="7" s="1"/>
  <c r="Y8" i="7"/>
  <c r="Y11" i="7" s="1"/>
  <c r="X8" i="7"/>
  <c r="X11" i="7" s="1"/>
  <c r="W8" i="7"/>
  <c r="W11" i="7" s="1"/>
  <c r="V8" i="7"/>
  <c r="V11" i="7" s="1"/>
  <c r="U8" i="7"/>
  <c r="U11" i="7" s="1"/>
  <c r="T8" i="7"/>
  <c r="T11" i="7" s="1"/>
  <c r="S8" i="7"/>
  <c r="S11" i="7" s="1"/>
  <c r="R8" i="7"/>
  <c r="R11" i="7" s="1"/>
  <c r="Q8" i="7"/>
  <c r="Q11" i="7" s="1"/>
  <c r="P8" i="7"/>
  <c r="P11" i="7" s="1"/>
  <c r="O8" i="7"/>
  <c r="O11" i="7" s="1"/>
  <c r="N8" i="7"/>
  <c r="N11" i="7" s="1"/>
  <c r="M8" i="7"/>
  <c r="M11" i="7" s="1"/>
  <c r="L8" i="7"/>
  <c r="L11" i="7" s="1"/>
  <c r="K8" i="7"/>
  <c r="K11" i="7" s="1"/>
  <c r="J8" i="7"/>
  <c r="J11" i="7" s="1"/>
  <c r="I8" i="7"/>
  <c r="I11" i="7" s="1"/>
  <c r="H8" i="7"/>
  <c r="H11" i="7" s="1"/>
  <c r="G8" i="7"/>
  <c r="G11" i="7" s="1"/>
  <c r="F8" i="7"/>
  <c r="F11" i="7" s="1"/>
  <c r="E8" i="7"/>
  <c r="E11" i="7" s="1"/>
  <c r="D8" i="7"/>
  <c r="D11" i="7" s="1"/>
  <c r="AC7" i="7"/>
  <c r="AC10" i="7" s="1"/>
  <c r="AB7" i="7"/>
  <c r="AB10" i="7" s="1"/>
  <c r="AA7" i="7"/>
  <c r="AA10" i="7" s="1"/>
  <c r="Z7" i="7"/>
  <c r="Z10" i="7" s="1"/>
  <c r="Y7" i="7"/>
  <c r="Y10" i="7" s="1"/>
  <c r="X7" i="7"/>
  <c r="X10" i="7" s="1"/>
  <c r="V7" i="7"/>
  <c r="V10" i="7" s="1"/>
  <c r="U7" i="7"/>
  <c r="U10" i="7" s="1"/>
  <c r="T7" i="7"/>
  <c r="T10" i="7" s="1"/>
  <c r="S7" i="7"/>
  <c r="S10" i="7" s="1"/>
  <c r="R7" i="7"/>
  <c r="R10" i="7" s="1"/>
  <c r="Q7" i="7"/>
  <c r="Q10" i="7" s="1"/>
  <c r="P7" i="7"/>
  <c r="P10" i="7" s="1"/>
  <c r="O7" i="7"/>
  <c r="O10" i="7" s="1"/>
  <c r="N7" i="7"/>
  <c r="N10" i="7" s="1"/>
  <c r="M7" i="7"/>
  <c r="M10" i="7" s="1"/>
  <c r="L7" i="7"/>
  <c r="L10" i="7" s="1"/>
  <c r="K7" i="7"/>
  <c r="K10" i="7" s="1"/>
  <c r="J7" i="7"/>
  <c r="J10" i="7" s="1"/>
  <c r="I7" i="7"/>
  <c r="I10" i="7" s="1"/>
  <c r="H7" i="7"/>
  <c r="H10" i="7" s="1"/>
  <c r="G7" i="7"/>
  <c r="G10" i="7" s="1"/>
  <c r="F7" i="7"/>
  <c r="F10" i="7" s="1"/>
  <c r="E7" i="7"/>
  <c r="E10" i="7" s="1"/>
  <c r="D7" i="7"/>
  <c r="D10" i="7" s="1"/>
  <c r="P19" i="5" l="1"/>
  <c r="P17" i="5"/>
  <c r="P15" i="5"/>
  <c r="P13" i="5"/>
  <c r="P11" i="5"/>
  <c r="P9" i="5"/>
  <c r="P7" i="5"/>
  <c r="L15" i="4"/>
  <c r="L13" i="4"/>
  <c r="L11" i="4"/>
  <c r="L9" i="4"/>
  <c r="L7" i="4"/>
  <c r="L5" i="4"/>
  <c r="L3" i="4"/>
  <c r="Q15" i="3"/>
  <c r="Q13" i="3"/>
  <c r="Q11" i="3"/>
</calcChain>
</file>

<file path=xl/sharedStrings.xml><?xml version="1.0" encoding="utf-8"?>
<sst xmlns="http://schemas.openxmlformats.org/spreadsheetml/2006/main" count="362" uniqueCount="133">
  <si>
    <t>n</t>
  </si>
  <si>
    <t>sample</t>
  </si>
  <si>
    <t>Sc45</t>
  </si>
  <si>
    <t>Ti47</t>
  </si>
  <si>
    <t>Ti48</t>
  </si>
  <si>
    <t>V51</t>
  </si>
  <si>
    <t>Cr53</t>
  </si>
  <si>
    <t>Mn55</t>
  </si>
  <si>
    <t>Co59</t>
  </si>
  <si>
    <t>Ga69</t>
  </si>
  <si>
    <t>Ga71</t>
  </si>
  <si>
    <t>Sr88</t>
  </si>
  <si>
    <t>Zr90</t>
  </si>
  <si>
    <t>Hf178</t>
  </si>
  <si>
    <t>Ta181</t>
  </si>
  <si>
    <t>wd_01</t>
  </si>
  <si>
    <t>σ</t>
  </si>
  <si>
    <t>we_01</t>
  </si>
  <si>
    <t>wd_02</t>
  </si>
  <si>
    <t>we_02</t>
  </si>
  <si>
    <t>&lt;0.060</t>
  </si>
  <si>
    <t>--</t>
  </si>
  <si>
    <t>we_03</t>
  </si>
  <si>
    <t>w025_01</t>
  </si>
  <si>
    <t>w050_01</t>
  </si>
  <si>
    <t xml:space="preserve">  SAMPLE</t>
  </si>
  <si>
    <t xml:space="preserve">    SiO2</t>
  </si>
  <si>
    <t xml:space="preserve">    TiO2</t>
  </si>
  <si>
    <t xml:space="preserve">    V2O5</t>
  </si>
  <si>
    <t xml:space="preserve">   Al2O3</t>
  </si>
  <si>
    <t xml:space="preserve">   Cr2O3</t>
  </si>
  <si>
    <t xml:space="preserve">     FeOtot</t>
  </si>
  <si>
    <t>FeO*</t>
  </si>
  <si>
    <t>Fe2O3*</t>
  </si>
  <si>
    <t xml:space="preserve">     MnO</t>
  </si>
  <si>
    <t xml:space="preserve">     MgO</t>
  </si>
  <si>
    <t xml:space="preserve">     ZnO</t>
  </si>
  <si>
    <t xml:space="preserve">   Ga2O3</t>
  </si>
  <si>
    <t xml:space="preserve">     CaO</t>
  </si>
  <si>
    <t>total</t>
  </si>
  <si>
    <t>&lt;0.041</t>
  </si>
  <si>
    <t>&lt;0.042</t>
  </si>
  <si>
    <t>&lt;0.062</t>
  </si>
  <si>
    <t>&lt;0.061</t>
  </si>
  <si>
    <t xml:space="preserve">     FeO</t>
  </si>
  <si>
    <t>&lt;0.0.42</t>
  </si>
  <si>
    <t xml:space="preserve">     K2O</t>
  </si>
  <si>
    <t xml:space="preserve">    Na2O</t>
  </si>
  <si>
    <t>Ca44</t>
  </si>
  <si>
    <t>Cr52</t>
  </si>
  <si>
    <t>Ni60</t>
  </si>
  <si>
    <t>Cu63</t>
  </si>
  <si>
    <t>Cu65</t>
  </si>
  <si>
    <t>Zn66</t>
  </si>
  <si>
    <t>Zn67</t>
  </si>
  <si>
    <t>Zn68</t>
  </si>
  <si>
    <t>Ge72</t>
  </si>
  <si>
    <t>Mo95</t>
  </si>
  <si>
    <t>In115</t>
  </si>
  <si>
    <t>Sn118</t>
  </si>
  <si>
    <t>Sn119</t>
  </si>
  <si>
    <t>Sn120</t>
  </si>
  <si>
    <t>W182</t>
  </si>
  <si>
    <t>&lt;LOD</t>
  </si>
  <si>
    <t>Source file</t>
  </si>
  <si>
    <t>Date</t>
  </si>
  <si>
    <t>BHVO1-1</t>
  </si>
  <si>
    <t>Below LOD</t>
  </si>
  <si>
    <t>BHVO1-2</t>
  </si>
  <si>
    <t>avg</t>
  </si>
  <si>
    <t>accepted</t>
  </si>
  <si>
    <t>81690±286</t>
  </si>
  <si>
    <t>31.42±0.35</t>
  </si>
  <si>
    <t>16434±72</t>
  </si>
  <si>
    <t>313.8±3.2</t>
  </si>
  <si>
    <t>287.6±3.9</t>
  </si>
  <si>
    <t>1308±9</t>
  </si>
  <si>
    <t>44.9±0.36</t>
  </si>
  <si>
    <t>120±1.5</t>
  </si>
  <si>
    <t>137.2±1.6</t>
  </si>
  <si>
    <t>105.1±1.5</t>
  </si>
  <si>
    <t>21.32±0.42</t>
  </si>
  <si>
    <t>399.2±5</t>
  </si>
  <si>
    <t>174.61±3</t>
  </si>
  <si>
    <t>1.061±0.059</t>
  </si>
  <si>
    <t>0.0851±0.0081</t>
  </si>
  <si>
    <t>2.09±0.15</t>
  </si>
  <si>
    <t>4.44±.11</t>
  </si>
  <si>
    <t>1.174±0.018</t>
  </si>
  <si>
    <t>0.212±0.012</t>
  </si>
  <si>
    <t>% dif</t>
  </si>
  <si>
    <t>BIR1-1</t>
  </si>
  <si>
    <t>BIR1-2</t>
  </si>
  <si>
    <t>94983±429</t>
  </si>
  <si>
    <t>43.21±0.59</t>
  </si>
  <si>
    <t>5746±40</t>
  </si>
  <si>
    <t>320.6±2.9</t>
  </si>
  <si>
    <t>392.9±3.9</t>
  </si>
  <si>
    <t>1341±12</t>
  </si>
  <si>
    <t>52.22±0.57</t>
  </si>
  <si>
    <t>168.9±1.9</t>
  </si>
  <si>
    <t>120.7±1.6</t>
  </si>
  <si>
    <t>70.4±1.1</t>
  </si>
  <si>
    <t>15.46±0.23</t>
  </si>
  <si>
    <t>108.6±0.7</t>
  </si>
  <si>
    <t>14.8±0.22</t>
  </si>
  <si>
    <t>0.068±0.021</t>
  </si>
  <si>
    <t>0.0576±0.0028</t>
  </si>
  <si>
    <t>0.701±0.067</t>
  </si>
  <si>
    <t>0.5822±0.0088</t>
  </si>
  <si>
    <t>0.0414±0.002</t>
  </si>
  <si>
    <t>0.027±0.015</t>
  </si>
  <si>
    <t>Table A4. Summary of run-product olivine trace element analyses</t>
  </si>
  <si>
    <t>analysis differs by more than 10% from accepted value</t>
  </si>
  <si>
    <t>analysis within 10% of accepted value</t>
  </si>
  <si>
    <t>Table A8. Comparison between measured and accepted values for the BIR and BHVO glass standards</t>
  </si>
  <si>
    <t>Table A5. Summary of run-product chromite major element analyses</t>
  </si>
  <si>
    <r>
      <t>total EMP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</si>
  <si>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total T.E.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</si>
  <si>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total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</si>
  <si>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Notes:</t>
  </si>
  <si>
    <t>1) total from electron microprobe analysis</t>
  </si>
  <si>
    <t>3) sum of previous two columns</t>
  </si>
  <si>
    <t>Table A6. Summary of starting material and run-product glass major element analyses</t>
  </si>
  <si>
    <t>Table A7. Summary of starting material and run-product glass trace element analyses</t>
  </si>
  <si>
    <t>K0</t>
  </si>
  <si>
    <t>kt_a</t>
  </si>
  <si>
    <t>not measured</t>
  </si>
  <si>
    <t>21229*</t>
  </si>
  <si>
    <t>* weighed value</t>
  </si>
  <si>
    <t>Table A3. Run-product olivine major element analyses</t>
  </si>
  <si>
    <t>2) total trace elements from LA-ICP-MS recast as wt% oxides</t>
  </si>
  <si>
    <t>LOD = Limit of Detection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</si>
</sst>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"/>
    <numFmt numFmtId="167" formatCode="dd/mmm/yyyy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</cellStyleXfs>
  <cellXfs count="33">
    <xf numFmtId="0" fontId="0" fillId="0" borderId="0" xfId="0"/>
    <xf numFmtId="0" fontId="3" fillId="0" borderId="0" xfId="3" applyAlignment="1">
      <alignment horizontal="center"/>
    </xf>
    <xf numFmtId="0" fontId="4" fillId="0" borderId="0" xfId="3" applyFont="1" applyAlignment="1">
      <alignment horizontal="center"/>
    </xf>
    <xf numFmtId="2" fontId="3" fillId="0" borderId="0" xfId="3" applyNumberFormat="1" applyAlignment="1">
      <alignment horizontal="center"/>
    </xf>
    <xf numFmtId="1" fontId="3" fillId="0" borderId="0" xfId="3" applyNumberFormat="1" applyAlignment="1">
      <alignment horizontal="center"/>
    </xf>
    <xf numFmtId="2" fontId="3" fillId="0" borderId="0" xfId="3" quotePrefix="1" applyNumberFormat="1" applyAlignment="1">
      <alignment horizontal="center"/>
    </xf>
    <xf numFmtId="0" fontId="3" fillId="4" borderId="0" xfId="3" applyFill="1" applyAlignment="1">
      <alignment horizontal="center"/>
    </xf>
    <xf numFmtId="0" fontId="4" fillId="4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3" fillId="0" borderId="0" xfId="3" applyFill="1" applyAlignment="1">
      <alignment horizontal="center"/>
    </xf>
    <xf numFmtId="2" fontId="3" fillId="0" borderId="0" xfId="3" applyNumberFormat="1" applyFill="1" applyAlignment="1">
      <alignment horizontal="center"/>
    </xf>
    <xf numFmtId="164" fontId="3" fillId="0" borderId="0" xfId="3" applyNumberFormat="1" applyFill="1" applyAlignment="1">
      <alignment horizontal="center"/>
    </xf>
    <xf numFmtId="165" fontId="3" fillId="0" borderId="0" xfId="3" applyNumberFormat="1" applyFill="1" applyAlignment="1">
      <alignment horizontal="center"/>
    </xf>
    <xf numFmtId="0" fontId="3" fillId="0" borderId="0" xfId="3" applyFill="1" applyAlignment="1">
      <alignment horizontal="left"/>
    </xf>
    <xf numFmtId="2" fontId="4" fillId="0" borderId="0" xfId="3" applyNumberFormat="1" applyFont="1" applyFill="1" applyAlignment="1">
      <alignment horizontal="center"/>
    </xf>
    <xf numFmtId="168" fontId="3" fillId="0" borderId="0" xfId="3" applyNumberFormat="1" applyFill="1" applyAlignment="1">
      <alignment horizontal="center"/>
    </xf>
    <xf numFmtId="167" fontId="3" fillId="0" borderId="0" xfId="3" applyNumberFormat="1" applyFill="1" applyAlignment="1">
      <alignment horizontal="center"/>
    </xf>
    <xf numFmtId="167" fontId="4" fillId="0" borderId="0" xfId="3" applyNumberFormat="1" applyFont="1" applyFill="1" applyAlignment="1">
      <alignment horizontal="center"/>
    </xf>
    <xf numFmtId="168" fontId="2" fillId="3" borderId="0" xfId="2" applyNumberFormat="1" applyAlignment="1">
      <alignment horizontal="center"/>
    </xf>
    <xf numFmtId="0" fontId="2" fillId="3" borderId="0" xfId="2" applyAlignment="1">
      <alignment horizontal="left"/>
    </xf>
    <xf numFmtId="0" fontId="1" fillId="2" borderId="0" xfId="1" applyAlignment="1">
      <alignment horizontal="left"/>
    </xf>
    <xf numFmtId="166" fontId="3" fillId="0" borderId="0" xfId="3" applyNumberFormat="1" applyAlignment="1">
      <alignment horizontal="center"/>
    </xf>
    <xf numFmtId="166" fontId="3" fillId="0" borderId="0" xfId="3" quotePrefix="1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3" applyNumberFormat="1" applyFont="1" applyFill="1" applyAlignment="1">
      <alignment horizontal="center"/>
    </xf>
    <xf numFmtId="166" fontId="3" fillId="0" borderId="0" xfId="3" applyNumberFormat="1" applyFont="1" applyFill="1" applyAlignment="1">
      <alignment horizontal="center"/>
    </xf>
    <xf numFmtId="164" fontId="3" fillId="0" borderId="0" xfId="3" applyNumberFormat="1" applyFont="1" applyFill="1" applyAlignment="1">
      <alignment horizontal="center"/>
    </xf>
    <xf numFmtId="1" fontId="3" fillId="0" borderId="0" xfId="3" applyNumberFormat="1" applyFont="1" applyFill="1" applyAlignment="1">
      <alignment horizontal="center"/>
    </xf>
  </cellXfs>
  <cellStyles count="4">
    <cellStyle name="Bad" xfId="2" builtinId="27"/>
    <cellStyle name="Good" xfId="1" builtinId="26"/>
    <cellStyle name="Normal" xfId="0" builtinId="0"/>
    <cellStyle name="Normal 2" xfId="3" xr:uid="{C3FF9125-68EF-460F-AC3D-6453D197744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463B-83A8-45AA-AE97-BF31AEC25893}">
  <dimension ref="B1:L105"/>
  <sheetViews>
    <sheetView zoomScaleNormal="100" workbookViewId="0">
      <selection activeCell="B17" sqref="B17"/>
    </sheetView>
  </sheetViews>
  <sheetFormatPr defaultColWidth="12.42578125" defaultRowHeight="15.75" x14ac:dyDescent="0.25"/>
  <cols>
    <col min="1" max="1" width="12.42578125" style="6"/>
    <col min="2" max="2" width="7.42578125" style="6" customWidth="1"/>
    <col min="3" max="3" width="12.42578125" style="7"/>
    <col min="4" max="16384" width="12.42578125" style="6"/>
  </cols>
  <sheetData>
    <row r="1" spans="2:12" s="9" customFormat="1" x14ac:dyDescent="0.25">
      <c r="B1" s="13" t="s">
        <v>130</v>
      </c>
      <c r="C1" s="8"/>
    </row>
    <row r="2" spans="2:12" s="8" customFormat="1" x14ac:dyDescent="0.25">
      <c r="B2" s="8" t="s">
        <v>0</v>
      </c>
      <c r="C2" s="2" t="s">
        <v>1</v>
      </c>
      <c r="D2" s="8" t="s">
        <v>38</v>
      </c>
      <c r="E2" s="8" t="s">
        <v>27</v>
      </c>
      <c r="F2" s="8" t="s">
        <v>30</v>
      </c>
      <c r="G2" s="8" t="s">
        <v>35</v>
      </c>
      <c r="H2" s="8" t="s">
        <v>29</v>
      </c>
      <c r="I2" s="8" t="s">
        <v>44</v>
      </c>
      <c r="J2" s="8" t="s">
        <v>34</v>
      </c>
      <c r="K2" s="8" t="s">
        <v>26</v>
      </c>
      <c r="L2" s="8" t="s">
        <v>39</v>
      </c>
    </row>
    <row r="3" spans="2:12" s="9" customFormat="1" x14ac:dyDescent="0.25">
      <c r="B3" s="9">
        <v>14</v>
      </c>
      <c r="C3" s="9" t="s">
        <v>15</v>
      </c>
      <c r="D3" s="10">
        <v>0.31532071428571429</v>
      </c>
      <c r="E3" s="10" t="s">
        <v>41</v>
      </c>
      <c r="F3" s="10">
        <v>0.13614028571428574</v>
      </c>
      <c r="G3" s="10">
        <v>49.021650000000001</v>
      </c>
      <c r="H3" s="10">
        <v>9.1350000000000001E-2</v>
      </c>
      <c r="I3" s="10">
        <v>8.5754521428571415</v>
      </c>
      <c r="J3" s="10">
        <v>0.17131778571428571</v>
      </c>
      <c r="K3" s="10">
        <v>40.474807142857152</v>
      </c>
      <c r="L3" s="10">
        <f>SUM(D3:K3)</f>
        <v>98.786038071428578</v>
      </c>
    </row>
    <row r="4" spans="2:12" s="9" customFormat="1" x14ac:dyDescent="0.25">
      <c r="C4" s="10" t="s">
        <v>16</v>
      </c>
      <c r="D4" s="10">
        <v>9.5634822787885789E-3</v>
      </c>
      <c r="E4" s="10"/>
      <c r="F4" s="10">
        <v>2.7873612559961649E-2</v>
      </c>
      <c r="G4" s="10">
        <v>0.16376977156033035</v>
      </c>
      <c r="H4" s="10">
        <v>1.2258486755650666E-2</v>
      </c>
      <c r="I4" s="10">
        <v>7.6244986032230025E-2</v>
      </c>
      <c r="J4" s="10">
        <v>1.6001218834242558E-2</v>
      </c>
      <c r="K4" s="10">
        <v>0.26871449952086152</v>
      </c>
      <c r="L4" s="10"/>
    </row>
    <row r="5" spans="2:12" s="9" customFormat="1" x14ac:dyDescent="0.25">
      <c r="B5" s="9">
        <v>12</v>
      </c>
      <c r="C5" s="9" t="s">
        <v>17</v>
      </c>
      <c r="D5" s="10">
        <v>0.31301991666666662</v>
      </c>
      <c r="E5" s="10" t="s">
        <v>41</v>
      </c>
      <c r="F5" s="10">
        <v>0.1422259166666667</v>
      </c>
      <c r="G5" s="10">
        <v>48.744141666666671</v>
      </c>
      <c r="H5" s="10">
        <v>0.10375408333333334</v>
      </c>
      <c r="I5" s="10">
        <v>8.2379141666666662</v>
      </c>
      <c r="J5" s="10">
        <v>0.16460866666666665</v>
      </c>
      <c r="K5" s="10">
        <v>40.632566666666669</v>
      </c>
      <c r="L5" s="10">
        <f t="shared" ref="L5:L15" si="0">SUM(D5:K5)</f>
        <v>98.338231083333341</v>
      </c>
    </row>
    <row r="6" spans="2:12" s="9" customFormat="1" x14ac:dyDescent="0.25">
      <c r="C6" s="10" t="s">
        <v>16</v>
      </c>
      <c r="D6" s="10">
        <v>9.5634822787885789E-3</v>
      </c>
      <c r="E6" s="10"/>
      <c r="F6" s="10">
        <v>2.7873612559961649E-2</v>
      </c>
      <c r="G6" s="10">
        <v>0.16376977156033035</v>
      </c>
      <c r="H6" s="10">
        <v>1.2258486755650666E-2</v>
      </c>
      <c r="I6" s="10">
        <v>7.6244986032230025E-2</v>
      </c>
      <c r="J6" s="10">
        <v>1.6001218834242558E-2</v>
      </c>
      <c r="K6" s="10">
        <v>0.26871449952086152</v>
      </c>
      <c r="L6" s="10"/>
    </row>
    <row r="7" spans="2:12" s="9" customFormat="1" x14ac:dyDescent="0.25">
      <c r="B7" s="9">
        <v>9</v>
      </c>
      <c r="C7" s="9" t="s">
        <v>18</v>
      </c>
      <c r="D7" s="10">
        <v>0.31611662499999998</v>
      </c>
      <c r="E7" s="10" t="s">
        <v>41</v>
      </c>
      <c r="F7" s="10">
        <v>0.17221037499999997</v>
      </c>
      <c r="G7" s="10">
        <v>47.876137499999999</v>
      </c>
      <c r="H7" s="10">
        <v>0.10381649999999999</v>
      </c>
      <c r="I7" s="10">
        <v>9.1500537499999997</v>
      </c>
      <c r="J7" s="10">
        <v>0.167542625</v>
      </c>
      <c r="K7" s="10">
        <v>40.461099999999995</v>
      </c>
      <c r="L7" s="10">
        <f t="shared" si="0"/>
        <v>98.246977375</v>
      </c>
    </row>
    <row r="8" spans="2:12" s="9" customFormat="1" x14ac:dyDescent="0.25">
      <c r="C8" s="10" t="s">
        <v>16</v>
      </c>
      <c r="D8" s="10">
        <v>1.0138386261242112E-2</v>
      </c>
      <c r="E8" s="10"/>
      <c r="F8" s="10">
        <v>3.7387392301750762E-2</v>
      </c>
      <c r="G8" s="10">
        <v>0.12373163283609241</v>
      </c>
      <c r="H8" s="10">
        <v>1.6583437839345381E-2</v>
      </c>
      <c r="I8" s="10">
        <v>5.9535207095705457E-2</v>
      </c>
      <c r="J8" s="10">
        <v>2.1229609201284996E-2</v>
      </c>
      <c r="K8" s="10">
        <v>0.12755921874060858</v>
      </c>
      <c r="L8" s="10"/>
    </row>
    <row r="9" spans="2:12" s="9" customFormat="1" x14ac:dyDescent="0.25">
      <c r="B9" s="9">
        <v>14</v>
      </c>
      <c r="C9" s="9" t="s">
        <v>19</v>
      </c>
      <c r="D9" s="10">
        <v>0.32394321428571426</v>
      </c>
      <c r="E9" s="10" t="s">
        <v>41</v>
      </c>
      <c r="F9" s="10">
        <v>0.18796900000000002</v>
      </c>
      <c r="G9" s="10">
        <v>48.319271428571433</v>
      </c>
      <c r="H9" s="10">
        <v>8.6168357142857158E-2</v>
      </c>
      <c r="I9" s="10">
        <v>9.281307857142858</v>
      </c>
      <c r="J9" s="10">
        <v>0.17806692857142856</v>
      </c>
      <c r="K9" s="10">
        <v>40.338942857142861</v>
      </c>
      <c r="L9" s="10">
        <f t="shared" si="0"/>
        <v>98.715669642857151</v>
      </c>
    </row>
    <row r="10" spans="2:12" s="9" customFormat="1" x14ac:dyDescent="0.25">
      <c r="C10" s="10" t="s">
        <v>16</v>
      </c>
      <c r="D10" s="10">
        <v>1.1486524279671048E-2</v>
      </c>
      <c r="E10" s="10"/>
      <c r="F10" s="10">
        <v>2.1461199389380934E-2</v>
      </c>
      <c r="G10" s="10">
        <v>0.23945780880523021</v>
      </c>
      <c r="H10" s="10">
        <v>1.2565693580949978E-2</v>
      </c>
      <c r="I10" s="10">
        <v>6.5558769193235292E-2</v>
      </c>
      <c r="J10" s="10">
        <v>2.0113317664076463E-2</v>
      </c>
      <c r="K10" s="10">
        <v>0.22123009154857989</v>
      </c>
      <c r="L10" s="10"/>
    </row>
    <row r="11" spans="2:12" s="9" customFormat="1" x14ac:dyDescent="0.25">
      <c r="B11" s="9">
        <v>15</v>
      </c>
      <c r="C11" s="9" t="s">
        <v>23</v>
      </c>
      <c r="D11" s="10">
        <v>0.32340988235294121</v>
      </c>
      <c r="E11" s="10" t="s">
        <v>41</v>
      </c>
      <c r="F11" s="10">
        <v>0.25637223529411762</v>
      </c>
      <c r="G11" s="10">
        <v>47.93772352941177</v>
      </c>
      <c r="H11" s="10">
        <v>0.1109545882352941</v>
      </c>
      <c r="I11" s="10">
        <v>9.6995099999999983</v>
      </c>
      <c r="J11" s="10">
        <v>0.17894947058823535</v>
      </c>
      <c r="K11" s="10">
        <v>40.651335294117651</v>
      </c>
      <c r="L11" s="10">
        <f t="shared" si="0"/>
        <v>99.158254999999997</v>
      </c>
    </row>
    <row r="12" spans="2:12" s="9" customFormat="1" x14ac:dyDescent="0.25">
      <c r="C12" s="10" t="s">
        <v>16</v>
      </c>
      <c r="D12" s="10">
        <v>1.6441908970989173E-2</v>
      </c>
      <c r="E12" s="10"/>
      <c r="F12" s="10">
        <v>0.31662208531890373</v>
      </c>
      <c r="G12" s="10">
        <v>0.77729617065296597</v>
      </c>
      <c r="H12" s="10">
        <v>0.10211168711823519</v>
      </c>
      <c r="I12" s="10">
        <v>0.53679156572872855</v>
      </c>
      <c r="J12" s="10">
        <v>1.6715889424876736E-2</v>
      </c>
      <c r="K12" s="10">
        <v>0.48060393899391907</v>
      </c>
      <c r="L12" s="10"/>
    </row>
    <row r="13" spans="2:12" s="9" customFormat="1" x14ac:dyDescent="0.25">
      <c r="B13" s="9">
        <v>14</v>
      </c>
      <c r="C13" s="9" t="s">
        <v>24</v>
      </c>
      <c r="D13" s="10">
        <v>0.33276921428571427</v>
      </c>
      <c r="E13" s="10" t="s">
        <v>45</v>
      </c>
      <c r="F13" s="10">
        <v>0.15660107142857146</v>
      </c>
      <c r="G13" s="10">
        <v>47.993735714285705</v>
      </c>
      <c r="H13" s="10">
        <v>8.3037785714285703E-2</v>
      </c>
      <c r="I13" s="10">
        <v>9.7128442857142847</v>
      </c>
      <c r="J13" s="10">
        <v>0.18110592857142854</v>
      </c>
      <c r="K13" s="10">
        <v>40.485314285714296</v>
      </c>
      <c r="L13" s="10">
        <f t="shared" si="0"/>
        <v>98.945408285714279</v>
      </c>
    </row>
    <row r="14" spans="2:12" s="9" customFormat="1" x14ac:dyDescent="0.25">
      <c r="C14" s="10" t="s">
        <v>16</v>
      </c>
      <c r="D14" s="10">
        <v>1.9586367642114948E-2</v>
      </c>
      <c r="E14" s="10"/>
      <c r="F14" s="10">
        <v>2.4032150675114595E-2</v>
      </c>
      <c r="G14" s="10">
        <v>0.30713250612509535</v>
      </c>
      <c r="H14" s="10">
        <v>2.0103703027355174E-2</v>
      </c>
      <c r="I14" s="10">
        <v>0.10174612619458508</v>
      </c>
      <c r="J14" s="10">
        <v>1.4227892094616262E-2</v>
      </c>
      <c r="K14" s="10">
        <v>0.20980476219990388</v>
      </c>
      <c r="L14" s="10"/>
    </row>
    <row r="15" spans="2:12" s="9" customFormat="1" x14ac:dyDescent="0.25">
      <c r="B15" s="9">
        <v>15</v>
      </c>
      <c r="C15" s="9" t="s">
        <v>22</v>
      </c>
      <c r="D15" s="10">
        <v>0.3346107333333333</v>
      </c>
      <c r="E15" s="10" t="s">
        <v>41</v>
      </c>
      <c r="F15" s="10">
        <v>0.24750639999999999</v>
      </c>
      <c r="G15" s="10">
        <v>47.818120000000008</v>
      </c>
      <c r="H15" s="10">
        <v>8.9974799999999994E-2</v>
      </c>
      <c r="I15" s="10">
        <v>9.8956906666666669</v>
      </c>
      <c r="J15" s="10">
        <v>0.17323206666666671</v>
      </c>
      <c r="K15" s="10">
        <v>40.43874000000001</v>
      </c>
      <c r="L15" s="10">
        <f t="shared" si="0"/>
        <v>98.997874666666689</v>
      </c>
    </row>
    <row r="16" spans="2:12" s="9" customFormat="1" x14ac:dyDescent="0.25">
      <c r="C16" s="10" t="s">
        <v>16</v>
      </c>
      <c r="D16" s="10">
        <v>8.8810054165912831E-3</v>
      </c>
      <c r="E16" s="10"/>
      <c r="F16" s="10">
        <v>3.3929792915034722E-2</v>
      </c>
      <c r="G16" s="10">
        <v>0.28284616515494315</v>
      </c>
      <c r="H16" s="10">
        <v>2.0389169103787928E-2</v>
      </c>
      <c r="I16" s="10">
        <v>9.5525394639082134E-2</v>
      </c>
      <c r="J16" s="10">
        <v>1.3162665071365768E-2</v>
      </c>
      <c r="K16" s="10">
        <v>0.29832941237114713</v>
      </c>
      <c r="L16" s="10"/>
    </row>
    <row r="17" spans="3:3" s="9" customFormat="1" x14ac:dyDescent="0.25">
      <c r="C17" s="8"/>
    </row>
    <row r="18" spans="3:3" s="9" customFormat="1" x14ac:dyDescent="0.25">
      <c r="C18" s="8"/>
    </row>
    <row r="19" spans="3:3" s="9" customFormat="1" x14ac:dyDescent="0.25">
      <c r="C19" s="8"/>
    </row>
    <row r="20" spans="3:3" s="9" customFormat="1" x14ac:dyDescent="0.25">
      <c r="C20" s="8"/>
    </row>
    <row r="21" spans="3:3" s="9" customFormat="1" x14ac:dyDescent="0.25">
      <c r="C21" s="8"/>
    </row>
    <row r="22" spans="3:3" s="9" customFormat="1" x14ac:dyDescent="0.25">
      <c r="C22" s="8"/>
    </row>
    <row r="23" spans="3:3" s="9" customFormat="1" x14ac:dyDescent="0.25">
      <c r="C23" s="8"/>
    </row>
    <row r="24" spans="3:3" s="9" customFormat="1" x14ac:dyDescent="0.25">
      <c r="C24" s="8"/>
    </row>
    <row r="25" spans="3:3" s="9" customFormat="1" x14ac:dyDescent="0.25">
      <c r="C25" s="8"/>
    </row>
    <row r="26" spans="3:3" s="9" customFormat="1" x14ac:dyDescent="0.25">
      <c r="C26" s="8"/>
    </row>
    <row r="27" spans="3:3" s="9" customFormat="1" x14ac:dyDescent="0.25">
      <c r="C27" s="8"/>
    </row>
    <row r="28" spans="3:3" s="9" customFormat="1" x14ac:dyDescent="0.25">
      <c r="C28" s="8"/>
    </row>
    <row r="29" spans="3:3" s="9" customFormat="1" x14ac:dyDescent="0.25">
      <c r="C29" s="8"/>
    </row>
    <row r="30" spans="3:3" s="9" customFormat="1" x14ac:dyDescent="0.25">
      <c r="C30" s="8"/>
    </row>
    <row r="31" spans="3:3" s="9" customFormat="1" x14ac:dyDescent="0.25">
      <c r="C31" s="8"/>
    </row>
    <row r="32" spans="3:3" s="9" customFormat="1" x14ac:dyDescent="0.25">
      <c r="C32" s="8"/>
    </row>
    <row r="33" spans="3:3" s="9" customFormat="1" x14ac:dyDescent="0.25">
      <c r="C33" s="8"/>
    </row>
    <row r="34" spans="3:3" s="9" customFormat="1" x14ac:dyDescent="0.25">
      <c r="C34" s="8"/>
    </row>
    <row r="35" spans="3:3" s="9" customFormat="1" x14ac:dyDescent="0.25">
      <c r="C35" s="8"/>
    </row>
    <row r="36" spans="3:3" s="9" customFormat="1" x14ac:dyDescent="0.25">
      <c r="C36" s="8"/>
    </row>
    <row r="37" spans="3:3" s="9" customFormat="1" x14ac:dyDescent="0.25">
      <c r="C37" s="8"/>
    </row>
    <row r="38" spans="3:3" s="9" customFormat="1" x14ac:dyDescent="0.25">
      <c r="C38" s="8"/>
    </row>
    <row r="39" spans="3:3" s="9" customFormat="1" x14ac:dyDescent="0.25">
      <c r="C39" s="8"/>
    </row>
    <row r="40" spans="3:3" s="9" customFormat="1" x14ac:dyDescent="0.25">
      <c r="C40" s="8"/>
    </row>
    <row r="41" spans="3:3" s="9" customFormat="1" x14ac:dyDescent="0.25">
      <c r="C41" s="8"/>
    </row>
    <row r="42" spans="3:3" s="9" customFormat="1" x14ac:dyDescent="0.25">
      <c r="C42" s="8"/>
    </row>
    <row r="43" spans="3:3" s="9" customFormat="1" x14ac:dyDescent="0.25">
      <c r="C43" s="8"/>
    </row>
    <row r="44" spans="3:3" s="9" customFormat="1" x14ac:dyDescent="0.25">
      <c r="C44" s="8"/>
    </row>
    <row r="45" spans="3:3" s="9" customFormat="1" x14ac:dyDescent="0.25">
      <c r="C45" s="8"/>
    </row>
    <row r="46" spans="3:3" s="9" customFormat="1" x14ac:dyDescent="0.25">
      <c r="C46" s="8"/>
    </row>
    <row r="47" spans="3:3" s="9" customFormat="1" x14ac:dyDescent="0.25">
      <c r="C47" s="8"/>
    </row>
    <row r="48" spans="3:3" s="9" customFormat="1" x14ac:dyDescent="0.25">
      <c r="C48" s="8"/>
    </row>
    <row r="49" spans="3:3" s="9" customFormat="1" x14ac:dyDescent="0.25">
      <c r="C49" s="8"/>
    </row>
    <row r="50" spans="3:3" s="9" customFormat="1" x14ac:dyDescent="0.25">
      <c r="C50" s="8"/>
    </row>
    <row r="51" spans="3:3" s="9" customFormat="1" x14ac:dyDescent="0.25">
      <c r="C51" s="8"/>
    </row>
    <row r="52" spans="3:3" s="9" customFormat="1" x14ac:dyDescent="0.25">
      <c r="C52" s="8"/>
    </row>
    <row r="53" spans="3:3" s="9" customFormat="1" x14ac:dyDescent="0.25">
      <c r="C53" s="8"/>
    </row>
    <row r="54" spans="3:3" s="9" customFormat="1" x14ac:dyDescent="0.25">
      <c r="C54" s="8"/>
    </row>
    <row r="55" spans="3:3" s="9" customFormat="1" x14ac:dyDescent="0.25">
      <c r="C55" s="8"/>
    </row>
    <row r="56" spans="3:3" s="9" customFormat="1" x14ac:dyDescent="0.25">
      <c r="C56" s="8"/>
    </row>
    <row r="57" spans="3:3" s="9" customFormat="1" x14ac:dyDescent="0.25">
      <c r="C57" s="8"/>
    </row>
    <row r="58" spans="3:3" s="9" customFormat="1" x14ac:dyDescent="0.25">
      <c r="C58" s="8"/>
    </row>
    <row r="59" spans="3:3" s="9" customFormat="1" x14ac:dyDescent="0.25">
      <c r="C59" s="8"/>
    </row>
    <row r="60" spans="3:3" s="9" customFormat="1" x14ac:dyDescent="0.25">
      <c r="C60" s="8"/>
    </row>
    <row r="61" spans="3:3" s="9" customFormat="1" x14ac:dyDescent="0.25">
      <c r="C61" s="8"/>
    </row>
    <row r="62" spans="3:3" s="9" customFormat="1" x14ac:dyDescent="0.25">
      <c r="C62" s="8"/>
    </row>
    <row r="63" spans="3:3" s="9" customFormat="1" x14ac:dyDescent="0.25">
      <c r="C63" s="8"/>
    </row>
    <row r="64" spans="3:3" s="9" customFormat="1" x14ac:dyDescent="0.25">
      <c r="C64" s="8"/>
    </row>
    <row r="65" spans="3:3" s="9" customFormat="1" x14ac:dyDescent="0.25">
      <c r="C65" s="8"/>
    </row>
    <row r="66" spans="3:3" s="9" customFormat="1" x14ac:dyDescent="0.25">
      <c r="C66" s="8"/>
    </row>
    <row r="67" spans="3:3" s="9" customFormat="1" x14ac:dyDescent="0.25">
      <c r="C67" s="8"/>
    </row>
    <row r="68" spans="3:3" s="9" customFormat="1" x14ac:dyDescent="0.25">
      <c r="C68" s="8"/>
    </row>
    <row r="69" spans="3:3" s="9" customFormat="1" x14ac:dyDescent="0.25">
      <c r="C69" s="8"/>
    </row>
    <row r="70" spans="3:3" s="9" customFormat="1" x14ac:dyDescent="0.25">
      <c r="C70" s="8"/>
    </row>
    <row r="71" spans="3:3" s="9" customFormat="1" x14ac:dyDescent="0.25">
      <c r="C71" s="8"/>
    </row>
    <row r="72" spans="3:3" s="9" customFormat="1" x14ac:dyDescent="0.25">
      <c r="C72" s="8"/>
    </row>
    <row r="73" spans="3:3" s="9" customFormat="1" x14ac:dyDescent="0.25">
      <c r="C73" s="8"/>
    </row>
    <row r="74" spans="3:3" s="9" customFormat="1" x14ac:dyDescent="0.25">
      <c r="C74" s="8"/>
    </row>
    <row r="75" spans="3:3" s="9" customFormat="1" x14ac:dyDescent="0.25">
      <c r="C75" s="8"/>
    </row>
    <row r="76" spans="3:3" s="9" customFormat="1" x14ac:dyDescent="0.25">
      <c r="C76" s="8"/>
    </row>
    <row r="77" spans="3:3" s="9" customFormat="1" x14ac:dyDescent="0.25">
      <c r="C77" s="8"/>
    </row>
    <row r="78" spans="3:3" s="9" customFormat="1" x14ac:dyDescent="0.25">
      <c r="C78" s="8"/>
    </row>
    <row r="79" spans="3:3" s="9" customFormat="1" x14ac:dyDescent="0.25">
      <c r="C79" s="8"/>
    </row>
    <row r="80" spans="3:3" s="9" customFormat="1" x14ac:dyDescent="0.25">
      <c r="C80" s="8"/>
    </row>
    <row r="81" spans="3:3" s="9" customFormat="1" x14ac:dyDescent="0.25">
      <c r="C81" s="8"/>
    </row>
    <row r="82" spans="3:3" s="9" customFormat="1" x14ac:dyDescent="0.25">
      <c r="C82" s="8"/>
    </row>
    <row r="83" spans="3:3" s="9" customFormat="1" x14ac:dyDescent="0.25">
      <c r="C83" s="8"/>
    </row>
    <row r="84" spans="3:3" s="9" customFormat="1" x14ac:dyDescent="0.25">
      <c r="C84" s="8"/>
    </row>
    <row r="85" spans="3:3" s="9" customFormat="1" x14ac:dyDescent="0.25">
      <c r="C85" s="8"/>
    </row>
    <row r="86" spans="3:3" s="9" customFormat="1" x14ac:dyDescent="0.25">
      <c r="C86" s="8"/>
    </row>
    <row r="87" spans="3:3" s="9" customFormat="1" x14ac:dyDescent="0.25">
      <c r="C87" s="8"/>
    </row>
    <row r="88" spans="3:3" s="9" customFormat="1" x14ac:dyDescent="0.25">
      <c r="C88" s="8"/>
    </row>
    <row r="89" spans="3:3" s="9" customFormat="1" x14ac:dyDescent="0.25">
      <c r="C89" s="8"/>
    </row>
    <row r="90" spans="3:3" s="9" customFormat="1" x14ac:dyDescent="0.25">
      <c r="C90" s="8"/>
    </row>
    <row r="91" spans="3:3" s="9" customFormat="1" x14ac:dyDescent="0.25">
      <c r="C91" s="8"/>
    </row>
    <row r="92" spans="3:3" s="9" customFormat="1" x14ac:dyDescent="0.25">
      <c r="C92" s="8"/>
    </row>
    <row r="93" spans="3:3" s="9" customFormat="1" x14ac:dyDescent="0.25">
      <c r="C93" s="8"/>
    </row>
    <row r="94" spans="3:3" s="9" customFormat="1" x14ac:dyDescent="0.25">
      <c r="C94" s="8"/>
    </row>
    <row r="95" spans="3:3" s="9" customFormat="1" x14ac:dyDescent="0.25">
      <c r="C95" s="8"/>
    </row>
    <row r="96" spans="3:3" s="9" customFormat="1" x14ac:dyDescent="0.25">
      <c r="C96" s="8"/>
    </row>
    <row r="97" spans="3:3" s="9" customFormat="1" x14ac:dyDescent="0.25">
      <c r="C97" s="8"/>
    </row>
    <row r="98" spans="3:3" s="9" customFormat="1" x14ac:dyDescent="0.25">
      <c r="C98" s="8"/>
    </row>
    <row r="99" spans="3:3" s="9" customFormat="1" x14ac:dyDescent="0.25">
      <c r="C99" s="8"/>
    </row>
    <row r="100" spans="3:3" s="9" customFormat="1" x14ac:dyDescent="0.25">
      <c r="C100" s="8"/>
    </row>
    <row r="101" spans="3:3" s="9" customFormat="1" x14ac:dyDescent="0.25">
      <c r="C101" s="8"/>
    </row>
    <row r="102" spans="3:3" s="9" customFormat="1" x14ac:dyDescent="0.25">
      <c r="C102" s="8"/>
    </row>
    <row r="103" spans="3:3" s="9" customFormat="1" x14ac:dyDescent="0.25">
      <c r="C103" s="8"/>
    </row>
    <row r="104" spans="3:3" s="9" customFormat="1" x14ac:dyDescent="0.25">
      <c r="C104" s="8"/>
    </row>
    <row r="105" spans="3:3" s="9" customFormat="1" x14ac:dyDescent="0.25">
      <c r="C105" s="8"/>
    </row>
  </sheetData>
  <conditionalFormatting sqref="C2">
    <cfRule type="containsText" dxfId="5" priority="1" operator="containsText" text="&lt;LOD">
      <formula>NOT(ISERROR(SEARCH("&lt;LOD",C2)))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F7ED-A9FE-4B9A-AC71-188BA07890C8}">
  <dimension ref="B1:Q96"/>
  <sheetViews>
    <sheetView workbookViewId="0">
      <selection activeCell="A3" sqref="A3:XFD4"/>
    </sheetView>
  </sheetViews>
  <sheetFormatPr defaultColWidth="12.42578125" defaultRowHeight="15.75" x14ac:dyDescent="0.25"/>
  <cols>
    <col min="1" max="1" width="12.42578125" style="6"/>
    <col min="2" max="2" width="14.28515625" style="6" customWidth="1"/>
    <col min="3" max="16384" width="12.42578125" style="6"/>
  </cols>
  <sheetData>
    <row r="1" spans="2:17" s="9" customFormat="1" x14ac:dyDescent="0.25">
      <c r="B1" s="13" t="s">
        <v>112</v>
      </c>
    </row>
    <row r="2" spans="2:17" s="2" customFormat="1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</row>
    <row r="3" spans="2:17" s="1" customFormat="1" x14ac:dyDescent="0.25">
      <c r="B3" s="1">
        <v>5</v>
      </c>
      <c r="C3" s="1" t="s">
        <v>15</v>
      </c>
      <c r="D3" s="21">
        <v>518</v>
      </c>
      <c r="E3" s="21">
        <v>17.25</v>
      </c>
      <c r="F3" s="21">
        <v>23.32</v>
      </c>
      <c r="G3" s="21">
        <v>46.92</v>
      </c>
      <c r="H3" s="4">
        <v>880</v>
      </c>
      <c r="I3" s="4">
        <v>1638</v>
      </c>
      <c r="J3" s="4">
        <v>4732</v>
      </c>
      <c r="K3" s="3">
        <v>53.9</v>
      </c>
      <c r="L3" s="3">
        <v>57.879999999999995</v>
      </c>
      <c r="M3" s="3">
        <v>0.32499999999999996</v>
      </c>
      <c r="N3" s="3">
        <v>2.6560000000000001</v>
      </c>
      <c r="O3" s="3">
        <v>5.4260000000000002</v>
      </c>
      <c r="P3" s="3">
        <v>0.77900000000000003</v>
      </c>
      <c r="Q3" s="3"/>
    </row>
    <row r="4" spans="2:17" s="1" customFormat="1" x14ac:dyDescent="0.25">
      <c r="C4" s="1" t="s">
        <v>16</v>
      </c>
      <c r="D4" s="21">
        <v>125.57866060760483</v>
      </c>
      <c r="E4" s="21">
        <v>8.3416625041614658</v>
      </c>
      <c r="F4" s="21">
        <v>6.9059394726568524</v>
      </c>
      <c r="G4" s="21">
        <v>17.563940332396935</v>
      </c>
      <c r="H4" s="4">
        <v>237.90754506740637</v>
      </c>
      <c r="I4" s="4">
        <v>377.12067034306142</v>
      </c>
      <c r="J4" s="4">
        <v>1181.9983079514116</v>
      </c>
      <c r="K4" s="3">
        <v>13.097709723459296</v>
      </c>
      <c r="L4" s="3">
        <v>13.959656156223916</v>
      </c>
      <c r="M4" s="5">
        <v>0.26400757564888178</v>
      </c>
      <c r="N4" s="3">
        <v>0.95324708234539091</v>
      </c>
      <c r="O4" s="3">
        <v>3.5485039101007065</v>
      </c>
      <c r="P4" s="3">
        <v>0.96355107112527605</v>
      </c>
      <c r="Q4" s="5"/>
    </row>
    <row r="5" spans="2:17" s="1" customFormat="1" x14ac:dyDescent="0.25">
      <c r="B5" s="1">
        <v>7</v>
      </c>
      <c r="C5" s="1" t="s">
        <v>17</v>
      </c>
      <c r="D5" s="21">
        <v>103.14285714285714</v>
      </c>
      <c r="E5" s="21">
        <v>35.285714285714285</v>
      </c>
      <c r="F5" s="21">
        <v>19</v>
      </c>
      <c r="G5" s="21">
        <v>8.0028571428571418</v>
      </c>
      <c r="H5" s="4">
        <v>874.28571428571433</v>
      </c>
      <c r="I5" s="4">
        <v>1514.2857142857142</v>
      </c>
      <c r="J5" s="4">
        <v>967.14285714285711</v>
      </c>
      <c r="K5" s="3">
        <v>10.985714285714286</v>
      </c>
      <c r="L5" s="3">
        <v>10.542857142857143</v>
      </c>
      <c r="M5" s="3">
        <v>0.32500000000000001</v>
      </c>
      <c r="N5" s="3">
        <v>0.29666666666666669</v>
      </c>
      <c r="O5" s="3">
        <v>0.46500000000000002</v>
      </c>
      <c r="P5" s="3">
        <v>0.23333333333333331</v>
      </c>
      <c r="Q5" s="3"/>
    </row>
    <row r="6" spans="2:17" s="1" customFormat="1" x14ac:dyDescent="0.25">
      <c r="C6" s="1" t="s">
        <v>16</v>
      </c>
      <c r="D6" s="21">
        <v>25.235085175396659</v>
      </c>
      <c r="E6" s="21">
        <v>15.140610794749831</v>
      </c>
      <c r="F6" s="21">
        <v>4.0894172363960806</v>
      </c>
      <c r="G6" s="21">
        <v>1.6311725259836314</v>
      </c>
      <c r="H6" s="4">
        <v>189.89972291160589</v>
      </c>
      <c r="I6" s="4">
        <v>243.16367209879752</v>
      </c>
      <c r="J6" s="4">
        <v>171.53369792495451</v>
      </c>
      <c r="K6" s="3">
        <v>1.6436023154731045</v>
      </c>
      <c r="L6" s="3">
        <v>3.0527895128101812</v>
      </c>
      <c r="M6" s="3">
        <v>0.14849242404917484</v>
      </c>
      <c r="N6" s="3">
        <v>8.7368949480540997E-2</v>
      </c>
      <c r="O6" s="3">
        <v>0.11945710527214382</v>
      </c>
      <c r="P6" s="3">
        <v>0.20792626898334257</v>
      </c>
    </row>
    <row r="7" spans="2:17" s="1" customFormat="1" x14ac:dyDescent="0.25">
      <c r="B7" s="1">
        <v>7</v>
      </c>
      <c r="C7" s="1" t="s">
        <v>18</v>
      </c>
      <c r="D7" s="21">
        <v>504.57142857142856</v>
      </c>
      <c r="E7" s="21">
        <v>36</v>
      </c>
      <c r="F7" s="21">
        <v>22.571428571428573</v>
      </c>
      <c r="G7" s="21">
        <v>108.42857142857143</v>
      </c>
      <c r="H7" s="4">
        <v>1178.5714285714287</v>
      </c>
      <c r="I7" s="4">
        <v>1478.5714285714287</v>
      </c>
      <c r="J7" s="4">
        <v>3788.5714285714284</v>
      </c>
      <c r="K7" s="3">
        <v>26.928571428571427</v>
      </c>
      <c r="L7" s="3">
        <v>26.828571428571429</v>
      </c>
      <c r="M7" s="3">
        <v>0.65500000000000003</v>
      </c>
      <c r="N7" s="3">
        <v>2.371428571428571</v>
      </c>
      <c r="O7" s="3">
        <v>4.0571428571428578</v>
      </c>
      <c r="P7" s="3">
        <v>0.22524999999999998</v>
      </c>
      <c r="Q7" s="3"/>
    </row>
    <row r="8" spans="2:17" s="1" customFormat="1" x14ac:dyDescent="0.25">
      <c r="C8" s="1" t="s">
        <v>16</v>
      </c>
      <c r="D8" s="21">
        <v>124.89843492862131</v>
      </c>
      <c r="E8" s="21">
        <v>27.760883751542686</v>
      </c>
      <c r="F8" s="21">
        <v>7.2967376924472847</v>
      </c>
      <c r="G8" s="21">
        <v>28.418639088088796</v>
      </c>
      <c r="H8" s="4">
        <v>331.78449689663381</v>
      </c>
      <c r="I8" s="4">
        <v>359.32476356951207</v>
      </c>
      <c r="J8" s="4">
        <v>1018.289882948017</v>
      </c>
      <c r="K8" s="3">
        <v>8.6673168254299426</v>
      </c>
      <c r="L8" s="3">
        <v>9.7539247290025539</v>
      </c>
      <c r="M8" s="3">
        <v>0.50229473419497428</v>
      </c>
      <c r="N8" s="3">
        <v>0.37289089429432459</v>
      </c>
      <c r="O8" s="3">
        <v>2.5864113767001187</v>
      </c>
      <c r="P8" s="3">
        <v>0.27213400498038953</v>
      </c>
      <c r="Q8" s="3"/>
    </row>
    <row r="9" spans="2:17" s="1" customFormat="1" x14ac:dyDescent="0.25">
      <c r="B9" s="1">
        <v>4</v>
      </c>
      <c r="C9" s="1" t="s">
        <v>19</v>
      </c>
      <c r="D9" s="21">
        <v>90.25</v>
      </c>
      <c r="E9" s="21">
        <v>28.125</v>
      </c>
      <c r="F9" s="21">
        <v>19.074999999999999</v>
      </c>
      <c r="G9" s="21">
        <v>21.200000000000003</v>
      </c>
      <c r="H9" s="4">
        <v>1052.5</v>
      </c>
      <c r="I9" s="4">
        <v>1195</v>
      </c>
      <c r="J9" s="4">
        <v>710</v>
      </c>
      <c r="K9" s="3">
        <v>10.600000000000001</v>
      </c>
      <c r="L9" s="3">
        <v>9.3000000000000007</v>
      </c>
      <c r="M9" s="3">
        <v>0.13</v>
      </c>
      <c r="N9" s="3">
        <v>0.29000000000000004</v>
      </c>
      <c r="O9" s="3">
        <v>1.0666666666666667</v>
      </c>
      <c r="P9" s="3" t="s">
        <v>20</v>
      </c>
      <c r="Q9" s="3"/>
    </row>
    <row r="10" spans="2:17" s="1" customFormat="1" x14ac:dyDescent="0.25">
      <c r="C10" s="1" t="s">
        <v>16</v>
      </c>
      <c r="D10" s="21">
        <v>9.6046863561492728</v>
      </c>
      <c r="E10" s="22">
        <v>11.806601260876619</v>
      </c>
      <c r="F10" s="21">
        <v>1.8318933738985288</v>
      </c>
      <c r="G10" s="21">
        <v>2.917761699202519</v>
      </c>
      <c r="H10" s="4">
        <v>265.50266790875503</v>
      </c>
      <c r="I10" s="4">
        <v>160.10413278030438</v>
      </c>
      <c r="J10" s="4">
        <v>101.32456102380442</v>
      </c>
      <c r="K10" s="3">
        <v>1.8129166187849386</v>
      </c>
      <c r="L10" s="3">
        <v>0.90921211313239059</v>
      </c>
      <c r="M10" s="5" t="s">
        <v>21</v>
      </c>
      <c r="N10" s="3">
        <v>0.21999999999999995</v>
      </c>
      <c r="O10" s="5">
        <v>0.61719796932048721</v>
      </c>
      <c r="P10" s="3"/>
      <c r="Q10" s="5"/>
    </row>
    <row r="11" spans="2:17" s="1" customFormat="1" x14ac:dyDescent="0.25">
      <c r="B11" s="1">
        <v>5</v>
      </c>
      <c r="C11" s="1" t="s">
        <v>22</v>
      </c>
      <c r="D11" s="21">
        <v>182.6</v>
      </c>
      <c r="E11" s="21">
        <v>54.2</v>
      </c>
      <c r="F11" s="21">
        <v>39.4</v>
      </c>
      <c r="G11" s="21">
        <v>83.2</v>
      </c>
      <c r="H11" s="4">
        <v>2894</v>
      </c>
      <c r="I11" s="4">
        <v>2508</v>
      </c>
      <c r="J11" s="4">
        <v>1190</v>
      </c>
      <c r="K11" s="3">
        <v>1.8</v>
      </c>
      <c r="L11" s="3">
        <v>1.0999999999999999</v>
      </c>
      <c r="M11" s="3">
        <v>0.61499999999999999</v>
      </c>
      <c r="N11" s="3">
        <v>0.79999999999999993</v>
      </c>
      <c r="O11" s="3">
        <v>1.7849999999999999</v>
      </c>
      <c r="P11" s="3">
        <v>1.9</v>
      </c>
      <c r="Q11" s="3"/>
    </row>
    <row r="12" spans="2:17" s="1" customFormat="1" x14ac:dyDescent="0.25">
      <c r="C12" s="1" t="s">
        <v>16</v>
      </c>
      <c r="D12" s="21">
        <v>48.752435836581569</v>
      </c>
      <c r="E12" s="21">
        <v>18.793615937333609</v>
      </c>
      <c r="F12" s="21">
        <v>4.9799598391954882</v>
      </c>
      <c r="G12" s="21">
        <v>17.079227148791034</v>
      </c>
      <c r="H12" s="4">
        <v>761.17015180575754</v>
      </c>
      <c r="I12" s="4">
        <v>686.96433677447919</v>
      </c>
      <c r="J12" s="4">
        <v>358.39921874914853</v>
      </c>
      <c r="K12" s="3">
        <v>0.8185352771872455</v>
      </c>
      <c r="L12" s="5">
        <v>9.9999999999999978E-2</v>
      </c>
      <c r="M12" s="5">
        <v>0.54447222151364161</v>
      </c>
      <c r="N12" s="3">
        <v>0.43405068828421423</v>
      </c>
      <c r="O12" s="3">
        <v>1.260515767453942</v>
      </c>
      <c r="P12" s="5" t="s">
        <v>21</v>
      </c>
      <c r="Q12" s="3"/>
    </row>
    <row r="13" spans="2:17" s="1" customFormat="1" x14ac:dyDescent="0.25">
      <c r="B13" s="1">
        <v>7</v>
      </c>
      <c r="C13" s="1" t="s">
        <v>23</v>
      </c>
      <c r="D13" s="21">
        <v>24.771428571428569</v>
      </c>
      <c r="E13" s="21">
        <v>32.285714285714285</v>
      </c>
      <c r="F13" s="21">
        <v>20.528571428571432</v>
      </c>
      <c r="G13" s="21">
        <v>6.6428571428571432</v>
      </c>
      <c r="H13" s="4">
        <v>1402.8571428571429</v>
      </c>
      <c r="I13" s="4">
        <v>1254.2857142857142</v>
      </c>
      <c r="J13" s="4">
        <v>182.85714285714286</v>
      </c>
      <c r="K13" s="3">
        <v>2.0528571428571429</v>
      </c>
      <c r="L13" s="3">
        <v>1.5857142857142859</v>
      </c>
      <c r="M13" s="3">
        <v>0.43</v>
      </c>
      <c r="N13" s="3">
        <v>0.49</v>
      </c>
      <c r="O13" s="3">
        <v>0.43666666666666659</v>
      </c>
      <c r="P13" s="3">
        <v>0.23500000000000001</v>
      </c>
      <c r="Q13" s="3"/>
    </row>
    <row r="14" spans="2:17" s="1" customFormat="1" x14ac:dyDescent="0.25">
      <c r="C14" s="1" t="s">
        <v>16</v>
      </c>
      <c r="D14" s="21">
        <v>0.41633319989322704</v>
      </c>
      <c r="E14" s="21">
        <v>17.320508075688775</v>
      </c>
      <c r="F14" s="21">
        <v>2.6407069760450761</v>
      </c>
      <c r="G14" s="21">
        <v>0.17320508075688815</v>
      </c>
      <c r="H14" s="4">
        <v>164.62077633154328</v>
      </c>
      <c r="I14" s="4">
        <v>105.98742063723097</v>
      </c>
      <c r="J14" s="4">
        <v>21.221058723196006</v>
      </c>
      <c r="K14" s="3">
        <v>0.60500688701314165</v>
      </c>
      <c r="L14" s="3">
        <v>0.69550940563973274</v>
      </c>
      <c r="M14" s="5" t="s">
        <v>21</v>
      </c>
      <c r="N14" s="5" t="s">
        <v>21</v>
      </c>
      <c r="O14" s="5" t="s">
        <v>21</v>
      </c>
      <c r="P14" s="5" t="s">
        <v>21</v>
      </c>
      <c r="Q14" s="5"/>
    </row>
    <row r="15" spans="2:17" s="1" customFormat="1" x14ac:dyDescent="0.25">
      <c r="B15" s="1">
        <v>8</v>
      </c>
      <c r="C15" s="1" t="s">
        <v>24</v>
      </c>
      <c r="D15" s="21">
        <v>52.25</v>
      </c>
      <c r="E15" s="21">
        <v>48.75</v>
      </c>
      <c r="F15" s="21">
        <v>28.8125</v>
      </c>
      <c r="G15" s="21">
        <v>17.725000000000001</v>
      </c>
      <c r="H15" s="4">
        <v>1207.5</v>
      </c>
      <c r="I15" s="4">
        <v>1671.25</v>
      </c>
      <c r="J15" s="4">
        <v>409.875</v>
      </c>
      <c r="K15" s="3">
        <v>1.7174999999999998</v>
      </c>
      <c r="L15" s="3">
        <v>2.3675000000000002</v>
      </c>
      <c r="M15" s="3">
        <v>4.1000000000000005</v>
      </c>
      <c r="N15" s="3">
        <v>1.7860000000000003</v>
      </c>
      <c r="O15" s="3">
        <v>2.69</v>
      </c>
      <c r="P15" s="3">
        <v>4.03</v>
      </c>
      <c r="Q15" s="3"/>
    </row>
    <row r="16" spans="2:17" s="1" customFormat="1" x14ac:dyDescent="0.25">
      <c r="C16" s="1" t="s">
        <v>16</v>
      </c>
      <c r="D16" s="21">
        <v>8.3452296039628013</v>
      </c>
      <c r="E16" s="21">
        <v>29.735740880534415</v>
      </c>
      <c r="F16" s="21">
        <v>13.260191498294002</v>
      </c>
      <c r="G16" s="21">
        <v>5.6877688319510904</v>
      </c>
      <c r="H16" s="4">
        <v>345.49136850909275</v>
      </c>
      <c r="I16" s="4">
        <v>635.1701121971746</v>
      </c>
      <c r="J16" s="4">
        <v>78.165460951204565</v>
      </c>
      <c r="K16" s="3">
        <v>0.62107625480750339</v>
      </c>
      <c r="L16" s="3">
        <v>1.4010684698268163</v>
      </c>
      <c r="M16" s="3">
        <v>4.6669047558312133</v>
      </c>
      <c r="N16" s="3">
        <v>3.1965105975109793</v>
      </c>
      <c r="O16" s="3">
        <v>4.1469828389645729</v>
      </c>
      <c r="P16" s="3">
        <v>4.9073210614346392</v>
      </c>
      <c r="Q16" s="5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pans="2:10" s="1" customFormat="1" x14ac:dyDescent="0.25"/>
    <row r="82" spans="2:10" s="1" customFormat="1" x14ac:dyDescent="0.25"/>
    <row r="83" spans="2:10" s="1" customFormat="1" x14ac:dyDescent="0.25"/>
    <row r="84" spans="2:10" s="1" customFormat="1" x14ac:dyDescent="0.25"/>
    <row r="85" spans="2:10" s="1" customFormat="1" x14ac:dyDescent="0.25"/>
    <row r="86" spans="2:10" s="1" customFormat="1" x14ac:dyDescent="0.25"/>
    <row r="87" spans="2:10" s="1" customFormat="1" x14ac:dyDescent="0.25"/>
    <row r="88" spans="2:10" s="1" customFormat="1" x14ac:dyDescent="0.25"/>
    <row r="89" spans="2:10" s="1" customFormat="1" x14ac:dyDescent="0.25">
      <c r="B89" s="6"/>
    </row>
    <row r="90" spans="2:10" s="1" customFormat="1" x14ac:dyDescent="0.25">
      <c r="B90" s="6"/>
    </row>
    <row r="91" spans="2:10" s="1" customFormat="1" x14ac:dyDescent="0.25">
      <c r="B91" s="6"/>
    </row>
    <row r="92" spans="2:10" s="1" customFormat="1" x14ac:dyDescent="0.25">
      <c r="B92" s="6"/>
    </row>
    <row r="93" spans="2:10" s="1" customFormat="1" x14ac:dyDescent="0.25">
      <c r="B93" s="6"/>
    </row>
    <row r="94" spans="2:10" s="1" customFormat="1" x14ac:dyDescent="0.25">
      <c r="B94" s="6"/>
    </row>
    <row r="95" spans="2:10" s="1" customFormat="1" x14ac:dyDescent="0.25">
      <c r="B95" s="6"/>
      <c r="F95" s="6"/>
      <c r="G95" s="6"/>
      <c r="H95" s="6"/>
      <c r="I95" s="6"/>
      <c r="J95" s="6"/>
    </row>
    <row r="96" spans="2:10" s="1" customFormat="1" x14ac:dyDescent="0.25">
      <c r="B96" s="6"/>
      <c r="F96" s="6"/>
      <c r="G96" s="6"/>
      <c r="H96" s="6"/>
      <c r="I96" s="6"/>
      <c r="J96" s="6"/>
    </row>
  </sheetData>
  <conditionalFormatting sqref="A2:XFD2 B3:XFD1048576">
    <cfRule type="containsText" dxfId="4" priority="1" operator="containsText" text="&lt;LOD">
      <formula>NOT(ISERROR(SEARCH("&lt;LOD",A2)))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0BBCB-CE06-40D1-A071-907E9CAA2CAB}">
  <dimension ref="B1:Q165"/>
  <sheetViews>
    <sheetView workbookViewId="0">
      <selection activeCell="C17" sqref="C17"/>
    </sheetView>
  </sheetViews>
  <sheetFormatPr defaultColWidth="12.42578125" defaultRowHeight="15.75" x14ac:dyDescent="0.25"/>
  <cols>
    <col min="1" max="1" width="12.42578125" style="6"/>
    <col min="2" max="2" width="8.140625" style="6" customWidth="1"/>
    <col min="3" max="16384" width="12.42578125" style="6"/>
  </cols>
  <sheetData>
    <row r="1" spans="2:17" s="9" customFormat="1" x14ac:dyDescent="0.25">
      <c r="B1" s="13" t="s">
        <v>116</v>
      </c>
    </row>
    <row r="2" spans="2:17" s="8" customFormat="1" x14ac:dyDescent="0.25">
      <c r="B2" s="8" t="s">
        <v>0</v>
      </c>
      <c r="C2" s="8" t="s">
        <v>25</v>
      </c>
      <c r="D2" s="8" t="s">
        <v>26</v>
      </c>
      <c r="E2" s="8" t="s">
        <v>27</v>
      </c>
      <c r="F2" s="8" t="s">
        <v>28</v>
      </c>
      <c r="G2" s="8" t="s">
        <v>29</v>
      </c>
      <c r="H2" s="8" t="s">
        <v>30</v>
      </c>
      <c r="I2" s="8" t="s">
        <v>31</v>
      </c>
      <c r="J2" s="8" t="s">
        <v>32</v>
      </c>
      <c r="K2" s="8" t="s">
        <v>33</v>
      </c>
      <c r="L2" s="8" t="s">
        <v>34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</row>
    <row r="3" spans="2:17" s="9" customFormat="1" x14ac:dyDescent="0.25">
      <c r="B3" s="9">
        <v>11</v>
      </c>
      <c r="C3" s="9" t="s">
        <v>15</v>
      </c>
      <c r="D3" s="10">
        <v>0.38372145454545464</v>
      </c>
      <c r="E3" s="10">
        <v>0.32620499999999997</v>
      </c>
      <c r="F3" s="11">
        <v>0.71335763636363647</v>
      </c>
      <c r="G3" s="10">
        <v>15.589827272727273</v>
      </c>
      <c r="H3" s="10">
        <v>41.11725454545455</v>
      </c>
      <c r="I3" s="10">
        <v>21.101036363636361</v>
      </c>
      <c r="J3" s="10">
        <v>8.7112091033209662</v>
      </c>
      <c r="K3" s="10">
        <v>13.769348736759698</v>
      </c>
      <c r="L3" s="10">
        <v>0.17107527272727269</v>
      </c>
      <c r="M3" s="10">
        <v>16.444954545454546</v>
      </c>
      <c r="N3" s="9" t="s">
        <v>41</v>
      </c>
      <c r="O3" s="10">
        <v>1.0408860000000002</v>
      </c>
      <c r="P3" s="10">
        <v>0.22536181818181822</v>
      </c>
      <c r="Q3" s="10">
        <v>99.561949393015325</v>
      </c>
    </row>
    <row r="4" spans="2:17" s="9" customFormat="1" x14ac:dyDescent="0.25">
      <c r="C4" s="9" t="s">
        <v>16</v>
      </c>
      <c r="D4" s="10">
        <v>0.23474681609826495</v>
      </c>
      <c r="E4" s="10">
        <v>2.322346080583168E-2</v>
      </c>
      <c r="F4" s="11">
        <v>4.3183206122919413E-2</v>
      </c>
      <c r="G4" s="10">
        <v>0.9527608347228691</v>
      </c>
      <c r="H4" s="10">
        <v>0.8004019469786875</v>
      </c>
      <c r="I4" s="10">
        <v>0.32342513282899737</v>
      </c>
      <c r="J4" s="10">
        <v>1.0276517938178069</v>
      </c>
      <c r="K4" s="10">
        <v>1.0567411034981951</v>
      </c>
      <c r="L4" s="10">
        <v>1.8197622751837571E-2</v>
      </c>
      <c r="M4" s="10">
        <v>0.64889983258379136</v>
      </c>
      <c r="O4" s="10">
        <v>8.1432594082467974E-2</v>
      </c>
      <c r="P4" s="10">
        <v>3.6547053497698365E-2</v>
      </c>
      <c r="Q4" s="10"/>
    </row>
    <row r="5" spans="2:17" s="9" customFormat="1" x14ac:dyDescent="0.25">
      <c r="B5" s="9">
        <v>10</v>
      </c>
      <c r="C5" s="9" t="s">
        <v>17</v>
      </c>
      <c r="D5" s="10">
        <v>0.23526830000000004</v>
      </c>
      <c r="E5" s="10">
        <v>0.33446169999999997</v>
      </c>
      <c r="F5" s="11">
        <v>0.19209490000000001</v>
      </c>
      <c r="G5" s="10">
        <v>15.60497</v>
      </c>
      <c r="H5" s="10">
        <v>42.577880000000007</v>
      </c>
      <c r="I5" s="10">
        <v>20.38252</v>
      </c>
      <c r="J5" s="10">
        <v>7.1849718308449342</v>
      </c>
      <c r="K5" s="10">
        <v>14.667003776019929</v>
      </c>
      <c r="L5" s="10">
        <v>0.17365</v>
      </c>
      <c r="M5" s="10">
        <v>17.52393</v>
      </c>
      <c r="N5" s="9" t="s">
        <v>40</v>
      </c>
      <c r="O5" s="10">
        <v>0.22060439999999998</v>
      </c>
      <c r="P5" s="10">
        <v>0.19525700000000001</v>
      </c>
      <c r="Q5" s="10">
        <v>100.32154269594378</v>
      </c>
    </row>
    <row r="6" spans="2:17" s="9" customFormat="1" x14ac:dyDescent="0.25">
      <c r="C6" s="9" t="s">
        <v>16</v>
      </c>
      <c r="D6" s="10">
        <v>0.15114848770078163</v>
      </c>
      <c r="E6" s="10">
        <v>3.4415766580804863E-2</v>
      </c>
      <c r="F6" s="11">
        <v>1.4362413078356064E-2</v>
      </c>
      <c r="G6" s="10">
        <v>1.3971714370668895</v>
      </c>
      <c r="H6" s="10">
        <v>1.3941027020990946</v>
      </c>
      <c r="I6" s="10">
        <v>1.3114634182215428</v>
      </c>
      <c r="J6" s="10">
        <v>2.717802569683895</v>
      </c>
      <c r="K6" s="10">
        <v>1.9947955911029291</v>
      </c>
      <c r="L6" s="10">
        <v>1.9487752398764588E-2</v>
      </c>
      <c r="M6" s="10">
        <v>1.7813461888570554</v>
      </c>
      <c r="O6" s="10">
        <v>4.2152852507142305E-2</v>
      </c>
      <c r="P6" s="10">
        <v>4.2352019555677009E-2</v>
      </c>
      <c r="Q6" s="10"/>
    </row>
    <row r="7" spans="2:17" s="9" customFormat="1" x14ac:dyDescent="0.25">
      <c r="B7" s="9">
        <v>7</v>
      </c>
      <c r="C7" s="9" t="s">
        <v>18</v>
      </c>
      <c r="D7" s="10">
        <v>0.1937652857142857</v>
      </c>
      <c r="E7" s="10">
        <v>0.34878185714285709</v>
      </c>
      <c r="F7" s="11">
        <v>2.1085128571428573</v>
      </c>
      <c r="G7" s="10">
        <v>17.336271428571429</v>
      </c>
      <c r="H7" s="10">
        <v>45.544514285714286</v>
      </c>
      <c r="I7" s="10">
        <v>14.091942857142858</v>
      </c>
      <c r="J7" s="10">
        <v>8.9928717186257323</v>
      </c>
      <c r="K7" s="10">
        <v>5.6668174030701808</v>
      </c>
      <c r="L7" s="10">
        <v>0.14785557142857142</v>
      </c>
      <c r="M7" s="10">
        <v>17.224600000000002</v>
      </c>
      <c r="N7" s="10" t="s">
        <v>41</v>
      </c>
      <c r="O7" s="10">
        <v>0.54331014285714285</v>
      </c>
      <c r="P7" s="10">
        <v>0.15784085714285714</v>
      </c>
      <c r="Q7" s="10">
        <v>98.265141407410184</v>
      </c>
    </row>
    <row r="8" spans="2:17" s="9" customFormat="1" x14ac:dyDescent="0.25">
      <c r="C8" s="9" t="s">
        <v>16</v>
      </c>
      <c r="D8" s="10">
        <v>3.5281933496310938E-2</v>
      </c>
      <c r="E8" s="10">
        <v>2.5158379978505306E-2</v>
      </c>
      <c r="F8" s="11">
        <v>6.4035908081400084E-2</v>
      </c>
      <c r="G8" s="10">
        <v>0.36469868254165499</v>
      </c>
      <c r="H8" s="10">
        <v>0.56417542611192528</v>
      </c>
      <c r="I8" s="10">
        <v>1.5265838756923278</v>
      </c>
      <c r="J8" s="10">
        <v>1.7643570132797868</v>
      </c>
      <c r="K8" s="10">
        <v>0.57033917986078209</v>
      </c>
      <c r="L8" s="10">
        <v>1.7583326039718773E-2</v>
      </c>
      <c r="M8" s="10">
        <v>1.1736748754801445</v>
      </c>
      <c r="N8" s="10"/>
      <c r="O8" s="10">
        <v>8.5245073195715421E-2</v>
      </c>
      <c r="P8" s="10">
        <v>5.4718996148286486E-2</v>
      </c>
      <c r="Q8" s="10"/>
    </row>
    <row r="9" spans="2:17" s="9" customFormat="1" x14ac:dyDescent="0.25">
      <c r="B9" s="9">
        <v>6</v>
      </c>
      <c r="C9" s="9" t="s">
        <v>19</v>
      </c>
      <c r="D9" s="10">
        <v>0.17920833333333333</v>
      </c>
      <c r="E9" s="10">
        <v>0.35481883333333331</v>
      </c>
      <c r="F9" s="11">
        <v>0.50636933333333323</v>
      </c>
      <c r="G9" s="10">
        <v>17.108983333333331</v>
      </c>
      <c r="H9" s="10">
        <v>48.526649999999997</v>
      </c>
      <c r="I9" s="10">
        <v>11.698816666666668</v>
      </c>
      <c r="J9" s="10">
        <v>5.1333285721977422</v>
      </c>
      <c r="K9" s="10">
        <v>7.2965097333798674</v>
      </c>
      <c r="L9" s="10">
        <v>0.16417950000000001</v>
      </c>
      <c r="M9" s="10">
        <v>19.256816666666666</v>
      </c>
      <c r="N9" s="10" t="s">
        <v>41</v>
      </c>
      <c r="O9" s="10">
        <v>0.17528650000000001</v>
      </c>
      <c r="P9" s="10">
        <v>0.20579333333333336</v>
      </c>
      <c r="Q9" s="10">
        <v>98.907944138910935</v>
      </c>
    </row>
    <row r="10" spans="2:17" s="9" customFormat="1" x14ac:dyDescent="0.25">
      <c r="C10" s="9" t="s">
        <v>16</v>
      </c>
      <c r="D10" s="10">
        <v>1.8092044269973104E-2</v>
      </c>
      <c r="E10" s="10">
        <v>4.0098265535640082E-2</v>
      </c>
      <c r="F10" s="11">
        <v>1.872725354841619E-2</v>
      </c>
      <c r="G10" s="10">
        <v>1.1884303183892047</v>
      </c>
      <c r="H10" s="10">
        <v>1.685548430333583</v>
      </c>
      <c r="I10" s="10">
        <v>0.51733387832875088</v>
      </c>
      <c r="J10" s="10">
        <v>0.79761904605875245</v>
      </c>
      <c r="K10" s="10">
        <v>0.52046272489206014</v>
      </c>
      <c r="L10" s="10">
        <v>1.5303553871568523E-2</v>
      </c>
      <c r="M10" s="10">
        <v>0.47974658484106697</v>
      </c>
      <c r="N10" s="10"/>
      <c r="O10" s="10">
        <v>2.1538315512128262E-2</v>
      </c>
      <c r="P10" s="10">
        <v>2.5379231104717563E-2</v>
      </c>
      <c r="Q10" s="10"/>
    </row>
    <row r="11" spans="2:17" s="9" customFormat="1" x14ac:dyDescent="0.25">
      <c r="B11" s="9">
        <v>15</v>
      </c>
      <c r="C11" s="9" t="s">
        <v>22</v>
      </c>
      <c r="D11" s="10">
        <v>0.19886693333333336</v>
      </c>
      <c r="E11" s="10">
        <v>0.36976973333333335</v>
      </c>
      <c r="F11" s="11">
        <v>0.88548260000000001</v>
      </c>
      <c r="G11" s="10">
        <v>17.981640000000002</v>
      </c>
      <c r="H11" s="10">
        <v>48.876566666666669</v>
      </c>
      <c r="I11" s="10">
        <v>12.910205999999997</v>
      </c>
      <c r="J11" s="10">
        <v>8.9172385279941881</v>
      </c>
      <c r="K11" s="10">
        <v>4.4375567521177999</v>
      </c>
      <c r="L11" s="10">
        <v>0.17183819999999997</v>
      </c>
      <c r="M11" s="10">
        <v>17.15227333333333</v>
      </c>
      <c r="N11" s="12">
        <v>6.4977999999999994E-2</v>
      </c>
      <c r="O11" s="12" t="s">
        <v>42</v>
      </c>
      <c r="P11" s="10">
        <v>0.18870766666666663</v>
      </c>
      <c r="Q11" s="10">
        <f>SUM(D11:H11,J11:P11)</f>
        <v>99.244918413445319</v>
      </c>
    </row>
    <row r="12" spans="2:17" s="9" customFormat="1" x14ac:dyDescent="0.25">
      <c r="C12" s="9" t="s">
        <v>16</v>
      </c>
      <c r="D12" s="10">
        <v>2.5519904619354453E-2</v>
      </c>
      <c r="E12" s="10">
        <v>2.6719864767800076E-2</v>
      </c>
      <c r="F12" s="11">
        <v>2.7270892671753259E-2</v>
      </c>
      <c r="G12" s="10">
        <v>0.6884178027497958</v>
      </c>
      <c r="H12" s="10">
        <v>1.1353145244925795</v>
      </c>
      <c r="I12" s="10">
        <v>2.1304921478509007</v>
      </c>
      <c r="J12" s="10">
        <v>2.6485026148045221</v>
      </c>
      <c r="K12" s="10">
        <v>0.64749430001953145</v>
      </c>
      <c r="L12" s="10">
        <v>2.2697221482564384E-2</v>
      </c>
      <c r="M12" s="10">
        <v>1.8666693981782936</v>
      </c>
      <c r="N12" s="12"/>
      <c r="O12" s="12"/>
      <c r="P12" s="10">
        <v>4.3274019684640869E-2</v>
      </c>
      <c r="Q12" s="10"/>
    </row>
    <row r="13" spans="2:17" s="9" customFormat="1" x14ac:dyDescent="0.25">
      <c r="B13" s="9">
        <v>15</v>
      </c>
      <c r="C13" s="9" t="s">
        <v>23</v>
      </c>
      <c r="D13" s="10">
        <v>0.24781599999999998</v>
      </c>
      <c r="E13" s="10">
        <v>0.36129486666666666</v>
      </c>
      <c r="F13" s="11">
        <v>0.12684893333333333</v>
      </c>
      <c r="G13" s="10">
        <v>17.425640000000001</v>
      </c>
      <c r="H13" s="10">
        <v>47.831033333333338</v>
      </c>
      <c r="I13" s="10">
        <v>13.12538</v>
      </c>
      <c r="J13" s="10">
        <v>6.1874693209560583</v>
      </c>
      <c r="K13" s="10">
        <v>7.7103989940383961</v>
      </c>
      <c r="L13" s="10">
        <v>0.18347040000000001</v>
      </c>
      <c r="M13" s="10">
        <v>18.409879999999998</v>
      </c>
      <c r="N13" s="12">
        <v>5.3406000000000002E-2</v>
      </c>
      <c r="O13" s="10" t="s">
        <v>43</v>
      </c>
      <c r="P13" s="10">
        <v>0.19044979999999997</v>
      </c>
      <c r="Q13" s="10">
        <f>SUM(D13:H13,J13:P13)</f>
        <v>98.727707648327794</v>
      </c>
    </row>
    <row r="14" spans="2:17" s="9" customFormat="1" x14ac:dyDescent="0.25">
      <c r="C14" s="9" t="s">
        <v>16</v>
      </c>
      <c r="D14" s="10">
        <v>6.376974731462734E-2</v>
      </c>
      <c r="E14" s="10">
        <v>6.5101685313786337E-2</v>
      </c>
      <c r="F14" s="11">
        <v>1.4735669122752353E-2</v>
      </c>
      <c r="G14" s="10">
        <v>1.7269960248113732</v>
      </c>
      <c r="H14" s="10">
        <v>2.1086916595932395</v>
      </c>
      <c r="I14" s="10">
        <v>2.2776038549944855</v>
      </c>
      <c r="J14" s="10">
        <v>2.7485225965111724</v>
      </c>
      <c r="K14" s="10">
        <v>1.2610549310383936</v>
      </c>
      <c r="L14" s="10">
        <v>2.1120142358827625E-2</v>
      </c>
      <c r="M14" s="10">
        <v>1.8355230835611174</v>
      </c>
      <c r="N14" s="10"/>
      <c r="O14" s="10"/>
      <c r="P14" s="10">
        <v>3.756915404994602E-2</v>
      </c>
      <c r="Q14" s="10"/>
    </row>
    <row r="15" spans="2:17" s="9" customFormat="1" x14ac:dyDescent="0.25">
      <c r="B15" s="9">
        <v>14</v>
      </c>
      <c r="C15" s="9" t="s">
        <v>24</v>
      </c>
      <c r="D15" s="10">
        <v>0.23941842857142856</v>
      </c>
      <c r="E15" s="10">
        <v>0.37545071428571425</v>
      </c>
      <c r="F15" s="11">
        <v>0.25606092857142854</v>
      </c>
      <c r="G15" s="10">
        <v>18.166499999999999</v>
      </c>
      <c r="H15" s="10">
        <v>46.755078571428569</v>
      </c>
      <c r="I15" s="10">
        <v>14.220171428571428</v>
      </c>
      <c r="J15" s="10">
        <v>7.4882246887453077</v>
      </c>
      <c r="K15" s="10">
        <v>7.4815023963133722</v>
      </c>
      <c r="L15" s="10">
        <v>0.18119885714285713</v>
      </c>
      <c r="M15" s="10">
        <v>17.747385714285713</v>
      </c>
      <c r="N15" s="10" t="s">
        <v>41</v>
      </c>
      <c r="O15" s="10" t="s">
        <v>42</v>
      </c>
      <c r="P15" s="10">
        <v>0.18798414285714285</v>
      </c>
      <c r="Q15" s="10">
        <f>SUM(D15:H15,J15:P15)</f>
        <v>98.878804442201542</v>
      </c>
    </row>
    <row r="16" spans="2:17" s="9" customFormat="1" x14ac:dyDescent="0.25">
      <c r="C16" s="9" t="s">
        <v>16</v>
      </c>
      <c r="D16" s="10">
        <v>8.2192731277644676E-2</v>
      </c>
      <c r="E16" s="10">
        <v>3.6418778044022562E-2</v>
      </c>
      <c r="F16" s="11">
        <v>2.5796747449911308E-2</v>
      </c>
      <c r="G16" s="10">
        <v>1.3578443498654547</v>
      </c>
      <c r="H16" s="10">
        <v>1.5899339508190369</v>
      </c>
      <c r="I16" s="10">
        <v>2.309567722599791</v>
      </c>
      <c r="J16" s="10">
        <v>2.9861125600033929</v>
      </c>
      <c r="K16" s="10">
        <v>1.1327199662458529</v>
      </c>
      <c r="L16" s="10">
        <v>3.544592911389477E-2</v>
      </c>
      <c r="M16" s="10">
        <v>1.980249639995761</v>
      </c>
      <c r="N16" s="10"/>
      <c r="O16" s="10"/>
      <c r="P16" s="10">
        <v>3.9957186516141531E-2</v>
      </c>
      <c r="Q16" s="10"/>
    </row>
    <row r="17" spans="3:3" s="9" customFormat="1" x14ac:dyDescent="0.25"/>
    <row r="18" spans="3:3" s="9" customFormat="1" x14ac:dyDescent="0.25"/>
    <row r="19" spans="3:3" s="9" customFormat="1" x14ac:dyDescent="0.25">
      <c r="C19" s="13"/>
    </row>
    <row r="20" spans="3:3" s="9" customFormat="1" x14ac:dyDescent="0.25"/>
    <row r="21" spans="3:3" s="9" customFormat="1" x14ac:dyDescent="0.25"/>
    <row r="22" spans="3:3" s="9" customFormat="1" x14ac:dyDescent="0.25"/>
    <row r="23" spans="3:3" s="9" customFormat="1" x14ac:dyDescent="0.25"/>
    <row r="24" spans="3:3" s="9" customFormat="1" x14ac:dyDescent="0.25"/>
    <row r="25" spans="3:3" s="9" customFormat="1" x14ac:dyDescent="0.25"/>
    <row r="26" spans="3:3" s="9" customFormat="1" x14ac:dyDescent="0.25"/>
    <row r="27" spans="3:3" s="9" customFormat="1" x14ac:dyDescent="0.25"/>
    <row r="28" spans="3:3" s="9" customFormat="1" x14ac:dyDescent="0.25"/>
    <row r="29" spans="3:3" s="9" customFormat="1" x14ac:dyDescent="0.25"/>
    <row r="30" spans="3:3" s="9" customFormat="1" x14ac:dyDescent="0.25"/>
    <row r="31" spans="3:3" s="9" customFormat="1" x14ac:dyDescent="0.25"/>
    <row r="32" spans="3:3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A574-D8EC-4821-A522-20D2147BD6AA}">
  <dimension ref="B1:P83"/>
  <sheetViews>
    <sheetView workbookViewId="0">
      <pane ySplit="2" topLeftCell="A3" activePane="bottomLeft" state="frozen"/>
      <selection pane="bottomLeft" activeCell="G27" sqref="G27"/>
    </sheetView>
  </sheetViews>
  <sheetFormatPr defaultColWidth="12.42578125" defaultRowHeight="15.75" x14ac:dyDescent="0.25"/>
  <cols>
    <col min="1" max="1" width="12.42578125" style="6"/>
    <col min="2" max="2" width="8" style="6" customWidth="1"/>
    <col min="3" max="3" width="12.42578125" style="7"/>
    <col min="4" max="16384" width="12.42578125" style="6"/>
  </cols>
  <sheetData>
    <row r="1" spans="2:16" s="26" customFormat="1" x14ac:dyDescent="0.25">
      <c r="B1" s="25" t="s">
        <v>123</v>
      </c>
      <c r="C1" s="8"/>
    </row>
    <row r="2" spans="2:16" s="8" customFormat="1" ht="18" x14ac:dyDescent="0.25">
      <c r="B2" s="8" t="s">
        <v>0</v>
      </c>
      <c r="C2" s="8" t="s">
        <v>1</v>
      </c>
      <c r="D2" s="8" t="s">
        <v>26</v>
      </c>
      <c r="E2" s="8" t="s">
        <v>27</v>
      </c>
      <c r="F2" s="8" t="s">
        <v>29</v>
      </c>
      <c r="G2" s="8" t="s">
        <v>30</v>
      </c>
      <c r="H2" s="8" t="s">
        <v>38</v>
      </c>
      <c r="I2" s="8" t="s">
        <v>35</v>
      </c>
      <c r="J2" s="8" t="s">
        <v>44</v>
      </c>
      <c r="K2" s="8" t="s">
        <v>34</v>
      </c>
      <c r="L2" s="8" t="s">
        <v>47</v>
      </c>
      <c r="M2" s="8" t="s">
        <v>46</v>
      </c>
      <c r="N2" s="8" t="s">
        <v>117</v>
      </c>
      <c r="O2" s="8" t="s">
        <v>118</v>
      </c>
      <c r="P2" s="8" t="s">
        <v>119</v>
      </c>
    </row>
    <row r="3" spans="2:16" s="26" customFormat="1" x14ac:dyDescent="0.25">
      <c r="B3" s="26">
        <v>15</v>
      </c>
      <c r="C3" s="27" t="s">
        <v>125</v>
      </c>
      <c r="D3" s="27">
        <v>44.61</v>
      </c>
      <c r="E3" s="27">
        <v>0.49</v>
      </c>
      <c r="F3" s="27">
        <v>9.0299999999999994</v>
      </c>
      <c r="G3" s="27">
        <v>0.44</v>
      </c>
      <c r="H3" s="27">
        <v>9.16</v>
      </c>
      <c r="I3" s="27">
        <v>21.98</v>
      </c>
      <c r="J3" s="27">
        <v>12.58</v>
      </c>
      <c r="K3" s="27">
        <v>0.24</v>
      </c>
      <c r="L3" s="27">
        <v>0.5</v>
      </c>
      <c r="M3" s="27">
        <v>0.77</v>
      </c>
      <c r="N3" s="28">
        <f xml:space="preserve"> SUM(D3:M3)</f>
        <v>99.8</v>
      </c>
      <c r="O3" s="31">
        <v>2.7146248190633693E-3</v>
      </c>
      <c r="P3" s="29">
        <f xml:space="preserve"> N3+O3</f>
        <v>99.80271462481906</v>
      </c>
    </row>
    <row r="4" spans="2:16" s="26" customFormat="1" x14ac:dyDescent="0.25">
      <c r="C4" s="28" t="s">
        <v>16</v>
      </c>
      <c r="D4" s="27">
        <v>0.26</v>
      </c>
      <c r="E4" s="27">
        <v>0.03</v>
      </c>
      <c r="F4" s="27">
        <v>0.08</v>
      </c>
      <c r="G4" s="27">
        <v>0.09</v>
      </c>
      <c r="H4" s="27">
        <v>0.09</v>
      </c>
      <c r="I4" s="27">
        <v>0.13</v>
      </c>
      <c r="J4" s="27">
        <v>0.12</v>
      </c>
      <c r="K4" s="27">
        <v>0.03</v>
      </c>
      <c r="L4" s="27">
        <v>0.02</v>
      </c>
      <c r="M4" s="27">
        <v>0.03</v>
      </c>
    </row>
    <row r="5" spans="2:16" s="26" customFormat="1" x14ac:dyDescent="0.25">
      <c r="B5" s="26">
        <v>15</v>
      </c>
      <c r="C5" s="27" t="s">
        <v>126</v>
      </c>
      <c r="D5" s="28">
        <v>31.28</v>
      </c>
      <c r="E5" s="28">
        <v>0.4</v>
      </c>
      <c r="F5" s="28">
        <v>6.24</v>
      </c>
      <c r="G5" s="28">
        <v>0.84</v>
      </c>
      <c r="H5" s="27">
        <v>6.27</v>
      </c>
      <c r="I5" s="27">
        <v>14.14</v>
      </c>
      <c r="J5" s="28">
        <v>8.4</v>
      </c>
      <c r="K5" s="27">
        <v>0.17</v>
      </c>
      <c r="L5" s="27">
        <v>0.61</v>
      </c>
      <c r="M5" s="27">
        <v>0.43</v>
      </c>
      <c r="N5" s="28">
        <f xml:space="preserve"> SUM(D5:M5)</f>
        <v>68.780000000000015</v>
      </c>
      <c r="O5" s="30">
        <v>27.551562020738185</v>
      </c>
      <c r="P5" s="29">
        <f xml:space="preserve"> N5+O5</f>
        <v>96.331562020738204</v>
      </c>
    </row>
    <row r="6" spans="2:16" s="26" customFormat="1" x14ac:dyDescent="0.25">
      <c r="C6" s="28" t="s">
        <v>16</v>
      </c>
      <c r="D6" s="28">
        <v>0.2</v>
      </c>
      <c r="E6" s="28">
        <v>0.03</v>
      </c>
      <c r="F6" s="28">
        <v>0.05</v>
      </c>
      <c r="G6" s="27">
        <v>0.04</v>
      </c>
      <c r="H6" s="27">
        <v>0.08</v>
      </c>
      <c r="I6" s="27">
        <v>0.06</v>
      </c>
      <c r="J6" s="28">
        <v>0.12</v>
      </c>
      <c r="K6" s="27">
        <v>0.02</v>
      </c>
      <c r="L6" s="27">
        <v>0.02</v>
      </c>
      <c r="M6" s="27">
        <v>0.01</v>
      </c>
    </row>
    <row r="7" spans="2:16" s="26" customFormat="1" x14ac:dyDescent="0.25">
      <c r="B7" s="26">
        <v>15</v>
      </c>
      <c r="C7" s="26" t="s">
        <v>15</v>
      </c>
      <c r="D7" s="29">
        <v>44.697553333333332</v>
      </c>
      <c r="E7" s="29">
        <v>0.54293353333333338</v>
      </c>
      <c r="F7" s="29">
        <v>10.291550000000001</v>
      </c>
      <c r="G7" s="29">
        <v>0.24099106666666664</v>
      </c>
      <c r="H7" s="29">
        <v>10.155766666666668</v>
      </c>
      <c r="I7" s="29">
        <v>16.833300000000001</v>
      </c>
      <c r="J7" s="29">
        <v>12.891986666666668</v>
      </c>
      <c r="K7" s="29">
        <v>0.24428413333333329</v>
      </c>
      <c r="L7" s="29">
        <v>0.17172479999999998</v>
      </c>
      <c r="M7" s="29">
        <v>0.17448959999999999</v>
      </c>
      <c r="N7" s="28">
        <f xml:space="preserve"> SUM(D7:M7)</f>
        <v>96.244579800000025</v>
      </c>
      <c r="O7" s="29">
        <v>3.3034813591270784</v>
      </c>
      <c r="P7" s="29">
        <f xml:space="preserve"> N7+O7</f>
        <v>99.548061159127101</v>
      </c>
    </row>
    <row r="8" spans="2:16" s="26" customFormat="1" x14ac:dyDescent="0.25">
      <c r="C8" s="26" t="s">
        <v>16</v>
      </c>
      <c r="D8" s="29">
        <v>0.61101895091801528</v>
      </c>
      <c r="E8" s="29">
        <v>5.0259256378255734E-2</v>
      </c>
      <c r="F8" s="29">
        <v>0.59127277835916936</v>
      </c>
      <c r="G8" s="29">
        <v>5.1522082208182191E-2</v>
      </c>
      <c r="H8" s="29">
        <v>0.55967115688802571</v>
      </c>
      <c r="I8" s="29">
        <v>1.8792735887646943</v>
      </c>
      <c r="J8" s="29">
        <v>0.5073168590967676</v>
      </c>
      <c r="K8" s="29">
        <v>2.3234064034352252E-2</v>
      </c>
      <c r="L8" s="29">
        <v>1.6549807185756406E-2</v>
      </c>
      <c r="M8" s="29">
        <v>2.340479099854794E-2</v>
      </c>
      <c r="N8" s="29"/>
      <c r="O8" s="29"/>
    </row>
    <row r="9" spans="2:16" s="26" customFormat="1" x14ac:dyDescent="0.25">
      <c r="B9" s="26">
        <v>15</v>
      </c>
      <c r="C9" s="26" t="s">
        <v>17</v>
      </c>
      <c r="D9" s="29">
        <v>45.593253333333337</v>
      </c>
      <c r="E9" s="29">
        <v>0.56786519999999996</v>
      </c>
      <c r="F9" s="29">
        <v>10.673280000000002</v>
      </c>
      <c r="G9" s="29">
        <v>0.20318471428571425</v>
      </c>
      <c r="H9" s="29">
        <v>10.638293333333333</v>
      </c>
      <c r="I9" s="29">
        <v>16.488706666666669</v>
      </c>
      <c r="J9" s="29">
        <v>13.58155333333333</v>
      </c>
      <c r="K9" s="29">
        <v>0.24823859999999998</v>
      </c>
      <c r="L9" s="29">
        <v>0.20512986666666669</v>
      </c>
      <c r="M9" s="29">
        <v>0.28224206666666668</v>
      </c>
      <c r="N9" s="28">
        <f xml:space="preserve"> SUM(D9:M9)</f>
        <v>98.481747114285724</v>
      </c>
      <c r="O9" s="29">
        <v>0.77961089922243076</v>
      </c>
      <c r="P9" s="29">
        <f xml:space="preserve"> N9+O9</f>
        <v>99.261358013508158</v>
      </c>
    </row>
    <row r="10" spans="2:16" s="26" customFormat="1" x14ac:dyDescent="0.25">
      <c r="C10" s="26" t="s">
        <v>16</v>
      </c>
      <c r="D10" s="29">
        <v>0.68559855170153161</v>
      </c>
      <c r="E10" s="29">
        <v>3.264943338427613E-2</v>
      </c>
      <c r="F10" s="29">
        <v>0.42986340056215211</v>
      </c>
      <c r="G10" s="29">
        <v>3.8740255917165761E-2</v>
      </c>
      <c r="H10" s="29">
        <v>0.39311683371789219</v>
      </c>
      <c r="I10" s="29">
        <v>1.120907766988541</v>
      </c>
      <c r="J10" s="29">
        <v>0.58167083458733249</v>
      </c>
      <c r="K10" s="29">
        <v>2.6776641328377693E-2</v>
      </c>
      <c r="L10" s="29">
        <v>1.556588349962216E-2</v>
      </c>
      <c r="M10" s="29">
        <v>2.2067981218649498E-2</v>
      </c>
      <c r="N10" s="29"/>
      <c r="O10" s="29"/>
    </row>
    <row r="11" spans="2:16" s="26" customFormat="1" x14ac:dyDescent="0.25">
      <c r="B11" s="26">
        <v>15</v>
      </c>
      <c r="C11" s="26" t="s">
        <v>18</v>
      </c>
      <c r="D11" s="29">
        <v>44.582546666666666</v>
      </c>
      <c r="E11" s="29">
        <v>0.5316658666666666</v>
      </c>
      <c r="F11" s="29">
        <v>10.134170666666668</v>
      </c>
      <c r="G11" s="29">
        <v>0.2966666</v>
      </c>
      <c r="H11" s="29">
        <v>9.914158666666669</v>
      </c>
      <c r="I11" s="29">
        <v>17.890793333333331</v>
      </c>
      <c r="J11" s="29">
        <v>12.421140000000001</v>
      </c>
      <c r="K11" s="29">
        <v>0.24721860000000001</v>
      </c>
      <c r="L11" s="29">
        <v>7.5897928571428588E-2</v>
      </c>
      <c r="M11" s="29">
        <v>8.2278933333333332E-2</v>
      </c>
      <c r="N11" s="28">
        <f xml:space="preserve"> SUM(D11:M11)</f>
        <v>96.176537261904755</v>
      </c>
      <c r="O11" s="29">
        <v>3.2456039063090305</v>
      </c>
      <c r="P11" s="29">
        <f xml:space="preserve"> N11+O11</f>
        <v>99.422141168213784</v>
      </c>
    </row>
    <row r="12" spans="2:16" s="26" customFormat="1" x14ac:dyDescent="0.25">
      <c r="C12" s="26" t="s">
        <v>16</v>
      </c>
      <c r="D12" s="29">
        <v>0.58980117820289468</v>
      </c>
      <c r="E12" s="29">
        <v>4.8552663469483857E-2</v>
      </c>
      <c r="F12" s="29">
        <v>0.11336704254428666</v>
      </c>
      <c r="G12" s="29">
        <v>3.0642767766636232E-2</v>
      </c>
      <c r="H12" s="29">
        <v>0.11774567488973059</v>
      </c>
      <c r="I12" s="29">
        <v>0.28706437920704081</v>
      </c>
      <c r="J12" s="29">
        <v>0.55098547271489562</v>
      </c>
      <c r="K12" s="29">
        <v>2.4510116141241413E-2</v>
      </c>
      <c r="L12" s="29">
        <v>2.2050594373514591E-2</v>
      </c>
      <c r="M12" s="29">
        <v>1.2589947738837816E-2</v>
      </c>
      <c r="N12" s="29"/>
      <c r="O12" s="29"/>
    </row>
    <row r="13" spans="2:16" s="26" customFormat="1" x14ac:dyDescent="0.25">
      <c r="B13" s="26">
        <v>15</v>
      </c>
      <c r="C13" s="26" t="s">
        <v>19</v>
      </c>
      <c r="D13" s="29">
        <v>45.825033333333323</v>
      </c>
      <c r="E13" s="29">
        <v>0.55236246666666666</v>
      </c>
      <c r="F13" s="29">
        <v>10.37524</v>
      </c>
      <c r="G13" s="29">
        <v>0.25020993333333336</v>
      </c>
      <c r="H13" s="29">
        <v>10.255979999999999</v>
      </c>
      <c r="I13" s="29">
        <v>18.218133333333334</v>
      </c>
      <c r="J13" s="29">
        <v>12.680479999999999</v>
      </c>
      <c r="K13" s="29">
        <v>0.25131066666666663</v>
      </c>
      <c r="L13" s="29">
        <v>8.5473133333333326E-2</v>
      </c>
      <c r="M13" s="29">
        <v>0.10675860000000002</v>
      </c>
      <c r="N13" s="28">
        <f xml:space="preserve"> SUM(D13:M13)</f>
        <v>98.600981466666653</v>
      </c>
      <c r="O13" s="29">
        <v>0.73550233896423522</v>
      </c>
      <c r="P13" s="29">
        <f xml:space="preserve"> N13+O13</f>
        <v>99.336483805630891</v>
      </c>
    </row>
    <row r="14" spans="2:16" s="26" customFormat="1" x14ac:dyDescent="0.25">
      <c r="C14" s="26" t="s">
        <v>16</v>
      </c>
      <c r="D14" s="29">
        <v>0.70612551056215667</v>
      </c>
      <c r="E14" s="29">
        <v>5.0709650850794909E-2</v>
      </c>
      <c r="F14" s="29">
        <v>0.24672529200364879</v>
      </c>
      <c r="G14" s="29">
        <v>4.6340076969025909E-2</v>
      </c>
      <c r="H14" s="29">
        <v>0.11863085722405556</v>
      </c>
      <c r="I14" s="29">
        <v>0.2440831669348634</v>
      </c>
      <c r="J14" s="29">
        <v>0.47156632043799362</v>
      </c>
      <c r="K14" s="29">
        <v>2.875416036647517E-2</v>
      </c>
      <c r="L14" s="29">
        <v>1.5412445661434404E-2</v>
      </c>
      <c r="M14" s="29">
        <v>1.5347270249600748E-2</v>
      </c>
      <c r="N14" s="29"/>
      <c r="O14" s="29"/>
    </row>
    <row r="15" spans="2:16" s="26" customFormat="1" x14ac:dyDescent="0.25">
      <c r="B15" s="26">
        <v>12</v>
      </c>
      <c r="C15" s="26" t="s">
        <v>22</v>
      </c>
      <c r="D15" s="29">
        <v>46.023766666666667</v>
      </c>
      <c r="E15" s="29">
        <v>0.56369424999999984</v>
      </c>
      <c r="F15" s="29">
        <v>10.671433333333333</v>
      </c>
      <c r="G15" s="29">
        <v>0.3916743333333334</v>
      </c>
      <c r="H15" s="29">
        <v>10.610233333333335</v>
      </c>
      <c r="I15" s="29">
        <v>16.901374999999998</v>
      </c>
      <c r="J15" s="29">
        <v>12.622350000000001</v>
      </c>
      <c r="K15" s="29">
        <v>0.26310183333333331</v>
      </c>
      <c r="L15" s="29">
        <v>0.13792249999999998</v>
      </c>
      <c r="M15" s="29">
        <v>5.857066666666666E-2</v>
      </c>
      <c r="N15" s="28">
        <f xml:space="preserve"> SUM(D15:M15)</f>
        <v>98.244121916666671</v>
      </c>
      <c r="O15" s="29">
        <v>0.6274800511973927</v>
      </c>
      <c r="P15" s="29">
        <f xml:space="preserve"> N15+O15</f>
        <v>98.871601967864066</v>
      </c>
    </row>
    <row r="16" spans="2:16" s="26" customFormat="1" x14ac:dyDescent="0.25">
      <c r="C16" s="26" t="s">
        <v>16</v>
      </c>
      <c r="D16" s="29">
        <v>0.50509509155717613</v>
      </c>
      <c r="E16" s="29">
        <v>4.0850245930326809E-2</v>
      </c>
      <c r="F16" s="29">
        <v>0.40950998729819721</v>
      </c>
      <c r="G16" s="29">
        <v>4.4796816200450347E-2</v>
      </c>
      <c r="H16" s="29">
        <v>0.51854565913336925</v>
      </c>
      <c r="I16" s="29">
        <v>1.411244731127937</v>
      </c>
      <c r="J16" s="29">
        <v>0.44890037262788562</v>
      </c>
      <c r="K16" s="29">
        <v>3.1157640798871431E-2</v>
      </c>
      <c r="L16" s="29">
        <v>1.5752241817364638E-2</v>
      </c>
      <c r="M16" s="29">
        <v>1.0089922311020275E-2</v>
      </c>
      <c r="N16" s="30"/>
      <c r="O16" s="29"/>
    </row>
    <row r="17" spans="2:16" s="26" customFormat="1" x14ac:dyDescent="0.25">
      <c r="B17" s="26">
        <v>10</v>
      </c>
      <c r="C17" s="26" t="s">
        <v>23</v>
      </c>
      <c r="D17" s="29">
        <v>46.052909999999997</v>
      </c>
      <c r="E17" s="29">
        <v>0.58864420000000006</v>
      </c>
      <c r="F17" s="29">
        <v>10.56377</v>
      </c>
      <c r="G17" s="29">
        <v>0.21728840000000002</v>
      </c>
      <c r="H17" s="29">
        <v>10.572710000000002</v>
      </c>
      <c r="I17" s="29">
        <v>16.838239999999999</v>
      </c>
      <c r="J17" s="29">
        <v>13.05687</v>
      </c>
      <c r="K17" s="29">
        <v>0.25857399999999997</v>
      </c>
      <c r="L17" s="29">
        <v>7.0098199999999999E-2</v>
      </c>
      <c r="M17" s="29">
        <v>0.14072109999999999</v>
      </c>
      <c r="N17" s="28">
        <f xml:space="preserve"> SUM(D17:M17)</f>
        <v>98.35982589999999</v>
      </c>
      <c r="O17" s="29">
        <v>0.17496494882960775</v>
      </c>
      <c r="P17" s="29">
        <f xml:space="preserve"> N17+O17</f>
        <v>98.534790848829601</v>
      </c>
    </row>
    <row r="18" spans="2:16" s="26" customFormat="1" x14ac:dyDescent="0.25">
      <c r="C18" s="26" t="s">
        <v>16</v>
      </c>
      <c r="D18" s="29">
        <v>0.59228103211228988</v>
      </c>
      <c r="E18" s="29">
        <v>2.4525257379100225E-2</v>
      </c>
      <c r="F18" s="29">
        <v>0.30785871958127492</v>
      </c>
      <c r="G18" s="29">
        <v>6.9314912644634533E-2</v>
      </c>
      <c r="H18" s="29">
        <v>0.26148288004294978</v>
      </c>
      <c r="I18" s="29">
        <v>0.79175154239754375</v>
      </c>
      <c r="J18" s="29">
        <v>0.46126492520266726</v>
      </c>
      <c r="K18" s="29">
        <v>3.0184034127701591E-2</v>
      </c>
      <c r="L18" s="29">
        <v>1.5259708864268081E-2</v>
      </c>
      <c r="M18" s="29">
        <v>1.2327144965030986E-2</v>
      </c>
      <c r="N18" s="29"/>
      <c r="O18" s="29"/>
    </row>
    <row r="19" spans="2:16" s="26" customFormat="1" x14ac:dyDescent="0.25">
      <c r="B19" s="26">
        <v>10</v>
      </c>
      <c r="C19" s="26" t="s">
        <v>24</v>
      </c>
      <c r="D19" s="29">
        <v>46.066709999999986</v>
      </c>
      <c r="E19" s="29">
        <v>0.59330040000000006</v>
      </c>
      <c r="F19" s="29">
        <v>10.82381</v>
      </c>
      <c r="G19" s="29">
        <v>0.24576260000000003</v>
      </c>
      <c r="H19" s="29">
        <v>10.8872</v>
      </c>
      <c r="I19" s="29">
        <v>16.121609999999997</v>
      </c>
      <c r="J19" s="29">
        <v>13.1919</v>
      </c>
      <c r="K19" s="29">
        <v>0.25462770000000001</v>
      </c>
      <c r="L19" s="29">
        <v>5.5388799999999995E-2</v>
      </c>
      <c r="M19" s="29">
        <v>0.10350140000000001</v>
      </c>
      <c r="N19" s="28">
        <f xml:space="preserve"> SUM(D19:M19)</f>
        <v>98.34381089999998</v>
      </c>
      <c r="O19" s="29">
        <v>0.3293852683880184</v>
      </c>
      <c r="P19" s="29">
        <f xml:space="preserve"> N19+O19</f>
        <v>98.673196168388003</v>
      </c>
    </row>
    <row r="20" spans="2:16" s="26" customFormat="1" x14ac:dyDescent="0.25">
      <c r="C20" s="26" t="s">
        <v>16</v>
      </c>
      <c r="D20" s="29">
        <v>0.56393810820770762</v>
      </c>
      <c r="E20" s="29">
        <v>6.5461763569277409E-2</v>
      </c>
      <c r="F20" s="29">
        <v>0.52012938230149364</v>
      </c>
      <c r="G20" s="29">
        <v>7.3675741029640515E-2</v>
      </c>
      <c r="H20" s="29">
        <v>0.51526976968919458</v>
      </c>
      <c r="I20" s="29">
        <v>1.4003817808408934</v>
      </c>
      <c r="J20" s="29">
        <v>0.39950751348796093</v>
      </c>
      <c r="K20" s="29">
        <v>2.9165504380841659E-2</v>
      </c>
      <c r="L20" s="29">
        <v>1.1962659605808626E-2</v>
      </c>
      <c r="M20" s="29">
        <v>8.8238112224190823E-3</v>
      </c>
      <c r="N20" s="29"/>
    </row>
    <row r="21" spans="2:16" s="26" customFormat="1" x14ac:dyDescent="0.25">
      <c r="C21" s="8"/>
    </row>
    <row r="22" spans="2:16" s="26" customFormat="1" x14ac:dyDescent="0.25">
      <c r="B22" s="26" t="s">
        <v>120</v>
      </c>
      <c r="C22" s="8"/>
    </row>
    <row r="23" spans="2:16" s="26" customFormat="1" x14ac:dyDescent="0.25">
      <c r="B23" s="25" t="s">
        <v>121</v>
      </c>
      <c r="C23" s="8"/>
      <c r="N23" s="29"/>
    </row>
    <row r="24" spans="2:16" s="26" customFormat="1" x14ac:dyDescent="0.25">
      <c r="B24" s="25" t="s">
        <v>131</v>
      </c>
      <c r="C24" s="25"/>
      <c r="N24" s="29"/>
    </row>
    <row r="25" spans="2:16" s="26" customFormat="1" x14ac:dyDescent="0.25">
      <c r="B25" s="25" t="s">
        <v>122</v>
      </c>
      <c r="C25" s="8"/>
    </row>
    <row r="26" spans="2:16" s="9" customFormat="1" x14ac:dyDescent="0.25"/>
    <row r="27" spans="2:16" s="9" customFormat="1" x14ac:dyDescent="0.25">
      <c r="C27" s="23"/>
      <c r="J27" s="24"/>
    </row>
    <row r="28" spans="2:16" s="9" customFormat="1" x14ac:dyDescent="0.25">
      <c r="C28" s="8"/>
    </row>
    <row r="29" spans="2:16" s="9" customFormat="1" x14ac:dyDescent="0.25">
      <c r="C29" s="8"/>
    </row>
    <row r="30" spans="2:16" s="9" customFormat="1" x14ac:dyDescent="0.25">
      <c r="C30" s="8"/>
    </row>
    <row r="31" spans="2:16" s="9" customFormat="1" x14ac:dyDescent="0.25">
      <c r="C31" s="8"/>
    </row>
    <row r="32" spans="2:16" s="9" customFormat="1" x14ac:dyDescent="0.25">
      <c r="C32" s="8"/>
    </row>
    <row r="33" spans="3:3" s="9" customFormat="1" x14ac:dyDescent="0.25">
      <c r="C33" s="8"/>
    </row>
    <row r="34" spans="3:3" s="9" customFormat="1" x14ac:dyDescent="0.25">
      <c r="C34" s="8"/>
    </row>
    <row r="35" spans="3:3" s="9" customFormat="1" x14ac:dyDescent="0.25">
      <c r="C35" s="8"/>
    </row>
    <row r="36" spans="3:3" s="9" customFormat="1" x14ac:dyDescent="0.25">
      <c r="C36" s="8"/>
    </row>
    <row r="37" spans="3:3" s="9" customFormat="1" x14ac:dyDescent="0.25">
      <c r="C37" s="8"/>
    </row>
    <row r="38" spans="3:3" s="9" customFormat="1" x14ac:dyDescent="0.25">
      <c r="C38" s="8"/>
    </row>
    <row r="39" spans="3:3" s="9" customFormat="1" x14ac:dyDescent="0.25">
      <c r="C39" s="8"/>
    </row>
    <row r="40" spans="3:3" s="9" customFormat="1" x14ac:dyDescent="0.25">
      <c r="C40" s="8"/>
    </row>
    <row r="41" spans="3:3" s="9" customFormat="1" x14ac:dyDescent="0.25">
      <c r="C41" s="8"/>
    </row>
    <row r="42" spans="3:3" s="9" customFormat="1" x14ac:dyDescent="0.25">
      <c r="C42" s="8"/>
    </row>
    <row r="43" spans="3:3" s="9" customFormat="1" x14ac:dyDescent="0.25">
      <c r="C43" s="8"/>
    </row>
    <row r="44" spans="3:3" s="9" customFormat="1" x14ac:dyDescent="0.25">
      <c r="C44" s="8"/>
    </row>
    <row r="45" spans="3:3" s="9" customFormat="1" x14ac:dyDescent="0.25">
      <c r="C45" s="8"/>
    </row>
    <row r="46" spans="3:3" s="9" customFormat="1" x14ac:dyDescent="0.25">
      <c r="C46" s="8"/>
    </row>
    <row r="47" spans="3:3" s="9" customFormat="1" x14ac:dyDescent="0.25">
      <c r="C47" s="8"/>
    </row>
    <row r="48" spans="3:3" s="9" customFormat="1" x14ac:dyDescent="0.25">
      <c r="C48" s="8"/>
    </row>
    <row r="49" spans="3:3" s="9" customFormat="1" x14ac:dyDescent="0.25">
      <c r="C49" s="8"/>
    </row>
    <row r="50" spans="3:3" s="9" customFormat="1" x14ac:dyDescent="0.25">
      <c r="C50" s="8"/>
    </row>
    <row r="51" spans="3:3" s="9" customFormat="1" x14ac:dyDescent="0.25">
      <c r="C51" s="8"/>
    </row>
    <row r="52" spans="3:3" s="9" customFormat="1" x14ac:dyDescent="0.25">
      <c r="C52" s="8"/>
    </row>
    <row r="53" spans="3:3" s="9" customFormat="1" x14ac:dyDescent="0.25">
      <c r="C53" s="8"/>
    </row>
    <row r="54" spans="3:3" s="9" customFormat="1" x14ac:dyDescent="0.25">
      <c r="C54" s="8"/>
    </row>
    <row r="55" spans="3:3" s="9" customFormat="1" x14ac:dyDescent="0.25">
      <c r="C55" s="8"/>
    </row>
    <row r="56" spans="3:3" s="9" customFormat="1" x14ac:dyDescent="0.25">
      <c r="C56" s="8"/>
    </row>
    <row r="57" spans="3:3" s="9" customFormat="1" x14ac:dyDescent="0.25">
      <c r="C57" s="8"/>
    </row>
    <row r="58" spans="3:3" s="9" customFormat="1" x14ac:dyDescent="0.25">
      <c r="C58" s="8"/>
    </row>
    <row r="59" spans="3:3" s="9" customFormat="1" x14ac:dyDescent="0.25">
      <c r="C59" s="8"/>
    </row>
    <row r="60" spans="3:3" s="9" customFormat="1" x14ac:dyDescent="0.25">
      <c r="C60" s="8"/>
    </row>
    <row r="61" spans="3:3" s="9" customFormat="1" x14ac:dyDescent="0.25">
      <c r="C61" s="8"/>
    </row>
    <row r="62" spans="3:3" s="9" customFormat="1" x14ac:dyDescent="0.25">
      <c r="C62" s="8"/>
    </row>
    <row r="63" spans="3:3" s="9" customFormat="1" x14ac:dyDescent="0.25">
      <c r="C63" s="8"/>
    </row>
    <row r="64" spans="3:3" s="9" customFormat="1" x14ac:dyDescent="0.25">
      <c r="C64" s="8"/>
    </row>
    <row r="65" spans="3:3" s="9" customFormat="1" x14ac:dyDescent="0.25">
      <c r="C65" s="8"/>
    </row>
    <row r="66" spans="3:3" s="9" customFormat="1" x14ac:dyDescent="0.25">
      <c r="C66" s="8"/>
    </row>
    <row r="67" spans="3:3" s="9" customFormat="1" x14ac:dyDescent="0.25">
      <c r="C67" s="8"/>
    </row>
    <row r="68" spans="3:3" s="9" customFormat="1" x14ac:dyDescent="0.25">
      <c r="C68" s="8"/>
    </row>
    <row r="69" spans="3:3" s="9" customFormat="1" x14ac:dyDescent="0.25">
      <c r="C69" s="8"/>
    </row>
    <row r="70" spans="3:3" s="9" customFormat="1" x14ac:dyDescent="0.25">
      <c r="C70" s="8"/>
    </row>
    <row r="71" spans="3:3" s="9" customFormat="1" x14ac:dyDescent="0.25">
      <c r="C71" s="8"/>
    </row>
    <row r="72" spans="3:3" s="9" customFormat="1" x14ac:dyDescent="0.25">
      <c r="C72" s="8"/>
    </row>
    <row r="73" spans="3:3" s="9" customFormat="1" x14ac:dyDescent="0.25">
      <c r="C73" s="8"/>
    </row>
    <row r="74" spans="3:3" s="9" customFormat="1" x14ac:dyDescent="0.25">
      <c r="C74" s="8"/>
    </row>
    <row r="75" spans="3:3" s="9" customFormat="1" x14ac:dyDescent="0.25">
      <c r="C75" s="8"/>
    </row>
    <row r="76" spans="3:3" s="9" customFormat="1" x14ac:dyDescent="0.25">
      <c r="C76" s="8"/>
    </row>
    <row r="77" spans="3:3" s="9" customFormat="1" x14ac:dyDescent="0.25">
      <c r="C77" s="8"/>
    </row>
    <row r="78" spans="3:3" s="9" customFormat="1" x14ac:dyDescent="0.25">
      <c r="C78" s="8"/>
    </row>
    <row r="79" spans="3:3" s="9" customFormat="1" x14ac:dyDescent="0.25">
      <c r="C79" s="8"/>
    </row>
    <row r="80" spans="3:3" s="9" customFormat="1" x14ac:dyDescent="0.25">
      <c r="C80" s="8"/>
    </row>
    <row r="81" spans="2:15" s="9" customFormat="1" x14ac:dyDescent="0.25">
      <c r="C81" s="8"/>
    </row>
    <row r="82" spans="2:15" s="9" customFormat="1" x14ac:dyDescent="0.25">
      <c r="C82" s="8"/>
    </row>
    <row r="83" spans="2:15" s="9" customFormat="1" x14ac:dyDescent="0.25">
      <c r="B83" s="6"/>
      <c r="C83" s="8"/>
      <c r="O83" s="6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FA10-8410-4A9A-A326-ADA6E9AFD908}">
  <dimension ref="B1:U97"/>
  <sheetViews>
    <sheetView workbookViewId="0">
      <selection activeCell="F26" sqref="F26"/>
    </sheetView>
  </sheetViews>
  <sheetFormatPr defaultColWidth="12.42578125" defaultRowHeight="15.75" x14ac:dyDescent="0.25"/>
  <cols>
    <col min="1" max="1" width="12.42578125" style="6"/>
    <col min="2" max="2" width="5.7109375" style="6" customWidth="1"/>
    <col min="3" max="3" width="12.42578125" style="6"/>
    <col min="4" max="4" width="17.140625" style="6" customWidth="1"/>
    <col min="5" max="16384" width="12.42578125" style="6"/>
  </cols>
  <sheetData>
    <row r="1" spans="2:21" s="26" customFormat="1" x14ac:dyDescent="0.25">
      <c r="B1" s="25" t="s">
        <v>124</v>
      </c>
    </row>
    <row r="2" spans="2:21" s="8" customFormat="1" x14ac:dyDescent="0.25">
      <c r="B2" s="8" t="s">
        <v>0</v>
      </c>
      <c r="C2" s="8" t="s">
        <v>1</v>
      </c>
      <c r="D2" s="8" t="s">
        <v>2</v>
      </c>
      <c r="E2" s="8" t="s">
        <v>5</v>
      </c>
      <c r="F2" s="8" t="s">
        <v>8</v>
      </c>
      <c r="G2" s="8" t="s">
        <v>53</v>
      </c>
      <c r="H2" s="8" t="s">
        <v>54</v>
      </c>
      <c r="I2" s="8" t="s">
        <v>55</v>
      </c>
      <c r="J2" s="8" t="s">
        <v>9</v>
      </c>
      <c r="K2" s="8" t="s">
        <v>10</v>
      </c>
      <c r="L2" s="8" t="s">
        <v>56</v>
      </c>
      <c r="M2" s="8" t="s">
        <v>11</v>
      </c>
      <c r="N2" s="8" t="s">
        <v>12</v>
      </c>
      <c r="O2" s="8" t="s">
        <v>58</v>
      </c>
      <c r="P2" s="8" t="s">
        <v>59</v>
      </c>
      <c r="Q2" s="8" t="s">
        <v>60</v>
      </c>
      <c r="R2" s="8" t="s">
        <v>61</v>
      </c>
      <c r="S2" s="8" t="s">
        <v>13</v>
      </c>
      <c r="T2" s="8" t="s">
        <v>14</v>
      </c>
      <c r="U2" s="8" t="s">
        <v>62</v>
      </c>
    </row>
    <row r="3" spans="2:21" s="26" customFormat="1" x14ac:dyDescent="0.25">
      <c r="B3" s="26">
        <v>4</v>
      </c>
      <c r="C3" s="27" t="s">
        <v>125</v>
      </c>
      <c r="D3" s="26" t="s">
        <v>127</v>
      </c>
      <c r="E3" s="29">
        <v>1.02925</v>
      </c>
      <c r="F3" s="29">
        <v>0.50024999999999997</v>
      </c>
      <c r="G3" s="29">
        <v>7.0624999999999991</v>
      </c>
      <c r="H3" s="29">
        <v>13.700000000000001</v>
      </c>
      <c r="I3" s="29">
        <v>8.9749999999999996</v>
      </c>
      <c r="J3" s="29">
        <v>0.158</v>
      </c>
      <c r="K3" s="29">
        <v>8.299999999999999E-2</v>
      </c>
      <c r="L3" s="32" t="s">
        <v>63</v>
      </c>
      <c r="M3" s="29">
        <v>4.875</v>
      </c>
      <c r="N3" s="29">
        <v>0.219</v>
      </c>
      <c r="O3" s="29">
        <v>3.6249999999999998E-2</v>
      </c>
      <c r="P3" s="29">
        <v>6.6325000000000003</v>
      </c>
      <c r="Q3" s="29">
        <v>6.0175000000000001</v>
      </c>
      <c r="R3" s="29">
        <v>6.6674999999999995</v>
      </c>
      <c r="S3" s="29">
        <v>0.40325</v>
      </c>
      <c r="T3" s="29">
        <v>0.16450000000000001</v>
      </c>
      <c r="U3" s="29">
        <v>0.40574999999999994</v>
      </c>
    </row>
    <row r="4" spans="2:21" s="26" customFormat="1" x14ac:dyDescent="0.25">
      <c r="C4" s="28" t="s">
        <v>16</v>
      </c>
      <c r="E4" s="29">
        <v>9.9241708301835777E-2</v>
      </c>
      <c r="F4" s="29">
        <v>6.2574622118981904E-2</v>
      </c>
      <c r="G4" s="29">
        <v>0.41475896614780983</v>
      </c>
      <c r="H4" s="29">
        <v>1.4071247279470294</v>
      </c>
      <c r="I4" s="29">
        <v>0.78475049113290374</v>
      </c>
      <c r="J4" s="29">
        <v>2.2992752481307409E-2</v>
      </c>
      <c r="K4" s="29">
        <v>7.0237691685684908E-3</v>
      </c>
      <c r="L4" s="29"/>
      <c r="M4" s="29">
        <v>8.660254037844399E-2</v>
      </c>
      <c r="N4" s="29">
        <v>3.3015148038438469E-2</v>
      </c>
      <c r="O4" s="29">
        <v>5.1234753829797995E-3</v>
      </c>
      <c r="P4" s="29">
        <v>0.47591140632124668</v>
      </c>
      <c r="Q4" s="29">
        <v>0.53829205208077635</v>
      </c>
      <c r="R4" s="29">
        <v>0.60626589326246383</v>
      </c>
      <c r="S4" s="29">
        <v>3.3290389003434617E-2</v>
      </c>
      <c r="T4" s="29">
        <v>1.9295940851208344E-2</v>
      </c>
      <c r="U4" s="29">
        <v>3.0048571790796754E-2</v>
      </c>
    </row>
    <row r="5" spans="2:21" s="26" customFormat="1" x14ac:dyDescent="0.25">
      <c r="B5" s="26">
        <v>4</v>
      </c>
      <c r="C5" s="27" t="s">
        <v>126</v>
      </c>
      <c r="D5" s="26" t="s">
        <v>128</v>
      </c>
      <c r="E5" s="32">
        <v>18630</v>
      </c>
      <c r="F5" s="32">
        <v>16615</v>
      </c>
      <c r="G5" s="32">
        <v>19492.5</v>
      </c>
      <c r="H5" s="32">
        <v>18427.5</v>
      </c>
      <c r="I5" s="32">
        <v>18792.5</v>
      </c>
      <c r="J5" s="32">
        <v>18460</v>
      </c>
      <c r="K5" s="32">
        <v>18522.5</v>
      </c>
      <c r="L5" s="32">
        <v>17525</v>
      </c>
      <c r="M5" s="32">
        <v>17152.5</v>
      </c>
      <c r="N5" s="32">
        <v>19147.5</v>
      </c>
      <c r="O5" s="32">
        <v>5436.25</v>
      </c>
      <c r="P5" s="32">
        <v>15115</v>
      </c>
      <c r="Q5" s="32">
        <v>13337.5</v>
      </c>
      <c r="R5" s="32">
        <v>15115</v>
      </c>
      <c r="S5" s="32">
        <v>19857.5</v>
      </c>
      <c r="T5" s="32">
        <v>19627.5</v>
      </c>
      <c r="U5" s="32">
        <v>21227.5</v>
      </c>
    </row>
    <row r="6" spans="2:21" s="26" customFormat="1" x14ac:dyDescent="0.25">
      <c r="C6" s="28" t="s">
        <v>16</v>
      </c>
      <c r="E6" s="32">
        <v>300.33314835362415</v>
      </c>
      <c r="F6" s="32">
        <v>272.58026340878018</v>
      </c>
      <c r="G6" s="32">
        <v>568.41152932243267</v>
      </c>
      <c r="H6" s="32">
        <v>308.1531004765867</v>
      </c>
      <c r="I6" s="32">
        <v>580.19393309478858</v>
      </c>
      <c r="J6" s="32">
        <v>314.00636936215164</v>
      </c>
      <c r="K6" s="32">
        <v>302.14510862608165</v>
      </c>
      <c r="L6" s="32">
        <v>465.79680834744528</v>
      </c>
      <c r="M6" s="32">
        <v>227.35801430050066</v>
      </c>
      <c r="N6" s="32">
        <v>387.67469180572863</v>
      </c>
      <c r="O6" s="32">
        <v>160.07159856347619</v>
      </c>
      <c r="P6" s="32">
        <v>253.83721817994567</v>
      </c>
      <c r="Q6" s="32">
        <v>327.65581535100722</v>
      </c>
      <c r="R6" s="32">
        <v>306.64855018951801</v>
      </c>
      <c r="S6" s="32">
        <v>586.02474350491377</v>
      </c>
      <c r="T6" s="32">
        <v>417.00319742978792</v>
      </c>
      <c r="U6" s="32">
        <v>168.00297616411441</v>
      </c>
    </row>
    <row r="7" spans="2:21" s="26" customFormat="1" x14ac:dyDescent="0.25">
      <c r="B7" s="26">
        <v>5</v>
      </c>
      <c r="C7" s="26" t="s">
        <v>15</v>
      </c>
      <c r="D7" s="32">
        <v>3174.6</v>
      </c>
      <c r="E7" s="32">
        <v>3042.2</v>
      </c>
      <c r="F7" s="32">
        <v>2410.1999999999998</v>
      </c>
      <c r="G7" s="32">
        <v>6.7750000000000004</v>
      </c>
      <c r="H7" s="32" t="s">
        <v>63</v>
      </c>
      <c r="I7" s="32" t="s">
        <v>63</v>
      </c>
      <c r="J7" s="32">
        <v>2567.1999999999998</v>
      </c>
      <c r="K7" s="32">
        <v>2545.8000000000002</v>
      </c>
      <c r="L7" s="32" t="s">
        <v>63</v>
      </c>
      <c r="M7" s="32">
        <v>3074.2</v>
      </c>
      <c r="N7" s="32">
        <v>3076</v>
      </c>
      <c r="O7" s="32" t="s">
        <v>63</v>
      </c>
      <c r="P7" s="32">
        <v>1.4200000000000002</v>
      </c>
      <c r="Q7" s="32">
        <v>2.0999999999999996</v>
      </c>
      <c r="R7" s="32">
        <v>1.1320000000000001</v>
      </c>
      <c r="S7" s="32">
        <v>3105.6</v>
      </c>
      <c r="T7" s="32">
        <v>3244</v>
      </c>
      <c r="U7" s="32">
        <v>630.20000000000005</v>
      </c>
    </row>
    <row r="8" spans="2:21" s="26" customFormat="1" x14ac:dyDescent="0.25">
      <c r="C8" s="26" t="s">
        <v>16</v>
      </c>
      <c r="D8" s="32">
        <v>48.685726861165378</v>
      </c>
      <c r="E8" s="32">
        <v>73.774656895169628</v>
      </c>
      <c r="F8" s="32">
        <v>47.798535542420126</v>
      </c>
      <c r="G8" s="32">
        <v>1.1982626312012428</v>
      </c>
      <c r="H8" s="32" t="s">
        <v>63</v>
      </c>
      <c r="I8" s="32" t="s">
        <v>63</v>
      </c>
      <c r="J8" s="32">
        <v>23.392306427541513</v>
      </c>
      <c r="K8" s="32">
        <v>36.334556554332679</v>
      </c>
      <c r="L8" s="32" t="s">
        <v>63</v>
      </c>
      <c r="M8" s="32">
        <v>56.082082700270682</v>
      </c>
      <c r="N8" s="32">
        <v>60.220428427569331</v>
      </c>
      <c r="O8" s="32" t="s">
        <v>63</v>
      </c>
      <c r="P8" s="32">
        <v>0.27721832551258119</v>
      </c>
      <c r="Q8" s="32">
        <v>0.28284271247461895</v>
      </c>
      <c r="R8" s="32">
        <v>0.22398660674245693</v>
      </c>
      <c r="S8" s="32">
        <v>65.102227304447894</v>
      </c>
      <c r="T8" s="32">
        <v>51.850747342733641</v>
      </c>
      <c r="U8" s="32">
        <v>10.158740079360236</v>
      </c>
    </row>
    <row r="9" spans="2:21" s="26" customFormat="1" x14ac:dyDescent="0.25">
      <c r="B9" s="26">
        <v>5</v>
      </c>
      <c r="C9" s="26" t="s">
        <v>17</v>
      </c>
      <c r="D9" s="32">
        <v>719.4</v>
      </c>
      <c r="E9" s="32">
        <v>718.6</v>
      </c>
      <c r="F9" s="32">
        <v>542.20000000000005</v>
      </c>
      <c r="G9" s="32">
        <v>7.3666666666666663</v>
      </c>
      <c r="H9" s="32" t="s">
        <v>63</v>
      </c>
      <c r="I9" s="32" t="s">
        <v>63</v>
      </c>
      <c r="J9" s="32">
        <v>685.6</v>
      </c>
      <c r="K9" s="32">
        <v>681.2</v>
      </c>
      <c r="L9" s="32" t="s">
        <v>63</v>
      </c>
      <c r="M9" s="32">
        <v>698.2</v>
      </c>
      <c r="N9" s="32">
        <v>695</v>
      </c>
      <c r="O9" s="32" t="s">
        <v>63</v>
      </c>
      <c r="P9" s="32">
        <v>1.0920000000000001</v>
      </c>
      <c r="Q9" s="32">
        <v>2.2999999999999998</v>
      </c>
      <c r="R9" s="32">
        <v>1.206</v>
      </c>
      <c r="S9" s="32">
        <v>696.6</v>
      </c>
      <c r="T9" s="32">
        <v>719</v>
      </c>
      <c r="U9" s="32">
        <v>257.17999999999995</v>
      </c>
    </row>
    <row r="10" spans="2:21" s="26" customFormat="1" x14ac:dyDescent="0.25">
      <c r="C10" s="26" t="s">
        <v>16</v>
      </c>
      <c r="D10" s="32">
        <v>7.9246451024635789</v>
      </c>
      <c r="E10" s="32">
        <v>8.8769364084688576</v>
      </c>
      <c r="F10" s="32">
        <v>3.0331501776206204</v>
      </c>
      <c r="G10" s="32">
        <v>1.222020185321554</v>
      </c>
      <c r="H10" s="32" t="s">
        <v>63</v>
      </c>
      <c r="I10" s="32" t="s">
        <v>63</v>
      </c>
      <c r="J10" s="32">
        <v>10.990905331227269</v>
      </c>
      <c r="K10" s="32">
        <v>10.894952959971878</v>
      </c>
      <c r="L10" s="32" t="s">
        <v>63</v>
      </c>
      <c r="M10" s="32">
        <v>8.6717933554715199</v>
      </c>
      <c r="N10" s="32">
        <v>3.3166247903553998</v>
      </c>
      <c r="O10" s="32" t="s">
        <v>63</v>
      </c>
      <c r="P10" s="32">
        <v>0.17810109488714415</v>
      </c>
      <c r="Q10" s="32" t="s">
        <v>63</v>
      </c>
      <c r="R10" s="32">
        <v>7.2318738927058243E-2</v>
      </c>
      <c r="S10" s="32">
        <v>7.5033325929216277</v>
      </c>
      <c r="T10" s="32">
        <v>15.149257407543116</v>
      </c>
      <c r="U10" s="32">
        <v>8.7098794480750392</v>
      </c>
    </row>
    <row r="11" spans="2:21" s="26" customFormat="1" x14ac:dyDescent="0.25">
      <c r="B11" s="26">
        <v>5</v>
      </c>
      <c r="C11" s="26" t="s">
        <v>18</v>
      </c>
      <c r="D11" s="32">
        <v>3219.4</v>
      </c>
      <c r="E11" s="32">
        <v>3136.8</v>
      </c>
      <c r="F11" s="32">
        <v>2017.8</v>
      </c>
      <c r="G11" s="32">
        <v>12.9</v>
      </c>
      <c r="H11" s="32">
        <v>39</v>
      </c>
      <c r="I11" s="32" t="s">
        <v>63</v>
      </c>
      <c r="J11" s="32">
        <v>1313.4</v>
      </c>
      <c r="K11" s="32">
        <v>1315.6</v>
      </c>
      <c r="L11" s="32" t="s">
        <v>63</v>
      </c>
      <c r="M11" s="32">
        <v>3161.4</v>
      </c>
      <c r="N11" s="32">
        <v>3129.2</v>
      </c>
      <c r="O11" s="32" t="s">
        <v>63</v>
      </c>
      <c r="P11" s="32">
        <v>1.2233333333333334</v>
      </c>
      <c r="Q11" s="32">
        <v>2</v>
      </c>
      <c r="R11" s="32">
        <v>1.4350000000000001</v>
      </c>
      <c r="S11" s="32">
        <v>3172.8</v>
      </c>
      <c r="T11" s="32">
        <v>3279.2</v>
      </c>
      <c r="U11" s="32">
        <v>1473.4</v>
      </c>
    </row>
    <row r="12" spans="2:21" s="26" customFormat="1" x14ac:dyDescent="0.25">
      <c r="C12" s="26" t="s">
        <v>16</v>
      </c>
      <c r="D12" s="32">
        <v>113.03229626969454</v>
      </c>
      <c r="E12" s="32">
        <v>107.30657016231579</v>
      </c>
      <c r="F12" s="32">
        <v>98.487054986937238</v>
      </c>
      <c r="G12" s="32">
        <v>6.2217360921209126</v>
      </c>
      <c r="H12" s="32" t="s">
        <v>63</v>
      </c>
      <c r="I12" s="32" t="s">
        <v>63</v>
      </c>
      <c r="J12" s="32">
        <v>66.852823425791073</v>
      </c>
      <c r="K12" s="32">
        <v>72.651909816604274</v>
      </c>
      <c r="L12" s="32" t="s">
        <v>63</v>
      </c>
      <c r="M12" s="32">
        <v>73.350528287122785</v>
      </c>
      <c r="N12" s="32">
        <v>131.35714674124131</v>
      </c>
      <c r="O12" s="32" t="s">
        <v>63</v>
      </c>
      <c r="P12" s="32">
        <v>0.24110855093366887</v>
      </c>
      <c r="Q12" s="32" t="s">
        <v>63</v>
      </c>
      <c r="R12" s="32">
        <v>0.19330459556530627</v>
      </c>
      <c r="S12" s="32">
        <v>191.23728715917304</v>
      </c>
      <c r="T12" s="32">
        <v>124.32899903079732</v>
      </c>
      <c r="U12" s="32">
        <v>61.27234286364444</v>
      </c>
    </row>
    <row r="13" spans="2:21" s="26" customFormat="1" x14ac:dyDescent="0.25">
      <c r="B13" s="26">
        <v>5</v>
      </c>
      <c r="C13" s="26" t="s">
        <v>19</v>
      </c>
      <c r="D13" s="32">
        <v>677</v>
      </c>
      <c r="E13" s="32">
        <v>665.2</v>
      </c>
      <c r="F13" s="32">
        <v>449.2</v>
      </c>
      <c r="G13" s="32">
        <v>8.2749999999999986</v>
      </c>
      <c r="H13" s="32">
        <v>34</v>
      </c>
      <c r="I13" s="32">
        <v>19</v>
      </c>
      <c r="J13" s="32">
        <v>513</v>
      </c>
      <c r="K13" s="32">
        <v>516</v>
      </c>
      <c r="L13" s="32" t="s">
        <v>63</v>
      </c>
      <c r="M13" s="32">
        <v>661.6</v>
      </c>
      <c r="N13" s="32">
        <v>668.8</v>
      </c>
      <c r="O13" s="32" t="s">
        <v>63</v>
      </c>
      <c r="P13" s="32">
        <v>1.05</v>
      </c>
      <c r="Q13" s="32">
        <v>2.2000000000000002</v>
      </c>
      <c r="R13" s="32">
        <v>1.1259999999999999</v>
      </c>
      <c r="S13" s="32">
        <v>673.4</v>
      </c>
      <c r="T13" s="32">
        <v>682.8</v>
      </c>
      <c r="U13" s="32">
        <v>430.6</v>
      </c>
    </row>
    <row r="14" spans="2:21" s="26" customFormat="1" x14ac:dyDescent="0.25">
      <c r="C14" s="26" t="s">
        <v>16</v>
      </c>
      <c r="D14" s="32">
        <v>12.68857754044952</v>
      </c>
      <c r="E14" s="32">
        <v>22.862633269157776</v>
      </c>
      <c r="F14" s="32">
        <v>6.0166435825965294</v>
      </c>
      <c r="G14" s="32">
        <v>0.4349329450233293</v>
      </c>
      <c r="H14" s="32" t="s">
        <v>63</v>
      </c>
      <c r="I14" s="32" t="s">
        <v>63</v>
      </c>
      <c r="J14" s="32">
        <v>16.324827717314509</v>
      </c>
      <c r="K14" s="32">
        <v>15.132745950421556</v>
      </c>
      <c r="L14" s="32" t="s">
        <v>63</v>
      </c>
      <c r="M14" s="32">
        <v>18.420097719610503</v>
      </c>
      <c r="N14" s="32">
        <v>8.3486525858967209</v>
      </c>
      <c r="O14" s="32" t="s">
        <v>63</v>
      </c>
      <c r="P14" s="32">
        <v>7.0000000000000062E-2</v>
      </c>
      <c r="Q14" s="32" t="s">
        <v>63</v>
      </c>
      <c r="R14" s="32">
        <v>0.22810085488660645</v>
      </c>
      <c r="S14" s="32">
        <v>9.6332756630338352</v>
      </c>
      <c r="T14" s="32">
        <v>10.034938963441681</v>
      </c>
      <c r="U14" s="32">
        <v>18.994736112934024</v>
      </c>
    </row>
    <row r="15" spans="2:21" s="26" customFormat="1" x14ac:dyDescent="0.25">
      <c r="B15" s="26">
        <v>5</v>
      </c>
      <c r="C15" s="26" t="s">
        <v>22</v>
      </c>
      <c r="D15" s="32">
        <v>657.2</v>
      </c>
      <c r="E15" s="32">
        <v>615.4</v>
      </c>
      <c r="F15" s="32">
        <v>352.74</v>
      </c>
      <c r="G15" s="32">
        <v>7.94</v>
      </c>
      <c r="H15" s="32" t="s">
        <v>63</v>
      </c>
      <c r="I15" s="32">
        <v>21.5</v>
      </c>
      <c r="J15" s="32">
        <v>40.92</v>
      </c>
      <c r="K15" s="32">
        <v>41.419999999999995</v>
      </c>
      <c r="L15" s="32" t="s">
        <v>63</v>
      </c>
      <c r="M15" s="32">
        <v>634</v>
      </c>
      <c r="N15" s="32">
        <v>652</v>
      </c>
      <c r="O15" s="32" t="s">
        <v>63</v>
      </c>
      <c r="P15" s="32">
        <v>1.3425</v>
      </c>
      <c r="Q15" s="32">
        <v>1.9</v>
      </c>
      <c r="R15" s="32">
        <v>1.2260000000000002</v>
      </c>
      <c r="S15" s="32">
        <v>658.6</v>
      </c>
      <c r="T15" s="32">
        <v>663.6</v>
      </c>
      <c r="U15" s="32">
        <v>345.4</v>
      </c>
    </row>
    <row r="16" spans="2:21" s="26" customFormat="1" x14ac:dyDescent="0.25">
      <c r="C16" s="26" t="s">
        <v>16</v>
      </c>
      <c r="D16" s="32">
        <v>8.9833178725902822</v>
      </c>
      <c r="E16" s="32">
        <v>9.44986772394196</v>
      </c>
      <c r="F16" s="32">
        <v>6.8693522256469031</v>
      </c>
      <c r="G16" s="32">
        <v>1.2700393694685215</v>
      </c>
      <c r="H16" s="32" t="s">
        <v>63</v>
      </c>
      <c r="I16" s="32">
        <v>0.70710678118654757</v>
      </c>
      <c r="J16" s="32">
        <v>0.75630681604756211</v>
      </c>
      <c r="K16" s="32">
        <v>0.90939540355117199</v>
      </c>
      <c r="L16" s="32" t="s">
        <v>63</v>
      </c>
      <c r="M16" s="32">
        <v>10.295630140987001</v>
      </c>
      <c r="N16" s="32">
        <v>8.6023252670426267</v>
      </c>
      <c r="O16" s="32" t="s">
        <v>63</v>
      </c>
      <c r="P16" s="32">
        <v>0.37321798813383378</v>
      </c>
      <c r="Q16" s="32" t="s">
        <v>63</v>
      </c>
      <c r="R16" s="32">
        <v>0.2982113344593047</v>
      </c>
      <c r="S16" s="32">
        <v>11.545561917897283</v>
      </c>
      <c r="T16" s="32">
        <v>11.349008767288884</v>
      </c>
      <c r="U16" s="32">
        <v>6.6558245169174945</v>
      </c>
    </row>
    <row r="17" spans="2:21" s="26" customFormat="1" x14ac:dyDescent="0.25">
      <c r="B17" s="26">
        <v>5</v>
      </c>
      <c r="C17" s="26" t="s">
        <v>23</v>
      </c>
      <c r="D17" s="32">
        <v>160.36000000000001</v>
      </c>
      <c r="E17" s="32">
        <v>167.64</v>
      </c>
      <c r="F17" s="32">
        <v>117.75999999999999</v>
      </c>
      <c r="G17" s="32">
        <v>3.38</v>
      </c>
      <c r="H17" s="32">
        <v>23.54</v>
      </c>
      <c r="I17" s="32"/>
      <c r="J17" s="32">
        <v>92.820000000000007</v>
      </c>
      <c r="K17" s="32">
        <v>94.3</v>
      </c>
      <c r="L17" s="32" t="s">
        <v>63</v>
      </c>
      <c r="M17" s="32">
        <v>170.16000000000003</v>
      </c>
      <c r="N17" s="32">
        <v>154.67999999999998</v>
      </c>
      <c r="O17" s="32" t="s">
        <v>63</v>
      </c>
      <c r="P17" s="32">
        <v>1.6219999999999999</v>
      </c>
      <c r="Q17" s="32">
        <v>1.3679999999999999</v>
      </c>
      <c r="R17" s="32">
        <v>1.5499999999999998</v>
      </c>
      <c r="S17" s="32">
        <v>159.45999999999998</v>
      </c>
      <c r="T17" s="32">
        <v>169.90000000000003</v>
      </c>
      <c r="U17" s="32">
        <v>93.539999999999992</v>
      </c>
    </row>
    <row r="18" spans="2:21" s="26" customFormat="1" x14ac:dyDescent="0.25">
      <c r="C18" s="26" t="s">
        <v>16</v>
      </c>
      <c r="D18" s="32">
        <v>5.0806495647702352</v>
      </c>
      <c r="E18" s="32">
        <v>6.1133460559664039</v>
      </c>
      <c r="F18" s="32">
        <v>4.2045213758524298</v>
      </c>
      <c r="G18" s="32">
        <v>1.070980858839224</v>
      </c>
      <c r="H18" s="32">
        <v>3.78391331824607</v>
      </c>
      <c r="I18" s="32"/>
      <c r="J18" s="32">
        <v>2.3815961034566735</v>
      </c>
      <c r="K18" s="32">
        <v>2.7865749586185506</v>
      </c>
      <c r="L18" s="32" t="s">
        <v>63</v>
      </c>
      <c r="M18" s="32">
        <v>4.4150877680970311</v>
      </c>
      <c r="N18" s="32">
        <v>3.9232639472765469</v>
      </c>
      <c r="O18" s="32" t="s">
        <v>63</v>
      </c>
      <c r="P18" s="32">
        <v>0.11166915420114903</v>
      </c>
      <c r="Q18" s="32">
        <v>0.28437651098499755</v>
      </c>
      <c r="R18" s="32">
        <v>0.20481699148264243</v>
      </c>
      <c r="S18" s="32">
        <v>3.4143813495273192</v>
      </c>
      <c r="T18" s="32">
        <v>4.8451006181502496</v>
      </c>
      <c r="U18" s="32">
        <v>2.5715753926338656</v>
      </c>
    </row>
    <row r="19" spans="2:21" s="26" customFormat="1" x14ac:dyDescent="0.25">
      <c r="B19" s="26">
        <v>5</v>
      </c>
      <c r="C19" s="26" t="s">
        <v>24</v>
      </c>
      <c r="D19" s="32">
        <v>317.32</v>
      </c>
      <c r="E19" s="32">
        <v>330.48</v>
      </c>
      <c r="F19" s="32">
        <v>216.9</v>
      </c>
      <c r="G19" s="32">
        <v>6.34</v>
      </c>
      <c r="H19" s="32">
        <v>33.14</v>
      </c>
      <c r="I19" s="32">
        <v>8.8333333333333339</v>
      </c>
      <c r="J19" s="32">
        <v>107.8</v>
      </c>
      <c r="K19" s="32">
        <v>110.44000000000001</v>
      </c>
      <c r="L19" s="32" t="s">
        <v>63</v>
      </c>
      <c r="M19" s="32">
        <v>330.56000000000006</v>
      </c>
      <c r="N19" s="32">
        <v>313.26</v>
      </c>
      <c r="O19" s="32" t="s">
        <v>63</v>
      </c>
      <c r="P19" s="32">
        <v>1.48</v>
      </c>
      <c r="Q19" s="32">
        <v>1.528</v>
      </c>
      <c r="R19" s="32">
        <v>1.61</v>
      </c>
      <c r="S19" s="32">
        <v>318.47999999999996</v>
      </c>
      <c r="T19" s="32">
        <v>338.52</v>
      </c>
      <c r="U19" s="32">
        <v>145.66</v>
      </c>
    </row>
    <row r="20" spans="2:21" s="26" customFormat="1" x14ac:dyDescent="0.25">
      <c r="C20" s="26" t="s">
        <v>16</v>
      </c>
      <c r="D20" s="32">
        <v>4.3562598636904077</v>
      </c>
      <c r="E20" s="32">
        <v>4.9886872020602802</v>
      </c>
      <c r="F20" s="32">
        <v>18.613570318453146</v>
      </c>
      <c r="G20" s="32">
        <v>0.50793700396801178</v>
      </c>
      <c r="H20" s="32">
        <v>1.3126309458488314</v>
      </c>
      <c r="I20" s="32">
        <v>0.73711147958319945</v>
      </c>
      <c r="J20" s="32">
        <v>3.1488092987667593</v>
      </c>
      <c r="K20" s="32">
        <v>1.4518953130305221</v>
      </c>
      <c r="L20" s="32" t="s">
        <v>63</v>
      </c>
      <c r="M20" s="32">
        <v>3.5472524578890696</v>
      </c>
      <c r="N20" s="32">
        <v>4.3084800103981022</v>
      </c>
      <c r="O20" s="32" t="s">
        <v>63</v>
      </c>
      <c r="P20" s="32">
        <v>0.14525839046333949</v>
      </c>
      <c r="Q20" s="32">
        <v>0.42275288289969093</v>
      </c>
      <c r="R20" s="32">
        <v>8.3366660002665322E-2</v>
      </c>
      <c r="S20" s="32">
        <v>2.8349603171825914</v>
      </c>
      <c r="T20" s="32">
        <v>2.9727092020579482</v>
      </c>
      <c r="U20" s="32">
        <v>3.5676322680455672</v>
      </c>
    </row>
    <row r="21" spans="2:21" s="26" customFormat="1" x14ac:dyDescent="0.25"/>
    <row r="22" spans="2:21" s="26" customFormat="1" x14ac:dyDescent="0.25">
      <c r="B22" s="25" t="s">
        <v>129</v>
      </c>
    </row>
    <row r="23" spans="2:21" s="9" customFormat="1" x14ac:dyDescent="0.25">
      <c r="B23" s="13" t="s">
        <v>132</v>
      </c>
    </row>
    <row r="24" spans="2:21" s="9" customFormat="1" x14ac:dyDescent="0.25"/>
    <row r="25" spans="2:21" s="9" customFormat="1" x14ac:dyDescent="0.25"/>
    <row r="26" spans="2:21" s="9" customFormat="1" x14ac:dyDescent="0.25"/>
    <row r="27" spans="2:21" s="9" customFormat="1" x14ac:dyDescent="0.25"/>
    <row r="28" spans="2:21" s="9" customFormat="1" x14ac:dyDescent="0.25"/>
    <row r="29" spans="2:21" s="9" customFormat="1" x14ac:dyDescent="0.25"/>
    <row r="30" spans="2:21" s="9" customFormat="1" x14ac:dyDescent="0.25"/>
    <row r="31" spans="2:21" s="9" customFormat="1" x14ac:dyDescent="0.25"/>
    <row r="32" spans="2:21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pans="2:2" s="9" customFormat="1" x14ac:dyDescent="0.25">
      <c r="B9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74A3A-E03D-4393-B181-6FAA92469C81}">
  <dimension ref="B1:AC98"/>
  <sheetViews>
    <sheetView tabSelected="1" workbookViewId="0">
      <selection activeCell="K27" sqref="K27"/>
    </sheetView>
  </sheetViews>
  <sheetFormatPr defaultColWidth="12.42578125" defaultRowHeight="15.75" x14ac:dyDescent="0.25"/>
  <cols>
    <col min="1" max="2" width="12.42578125" style="6"/>
    <col min="3" max="3" width="13.140625" style="6" bestFit="1" customWidth="1"/>
    <col min="4" max="4" width="12.42578125" style="6"/>
    <col min="5" max="5" width="12.42578125" style="9"/>
    <col min="6" max="6" width="12.42578125" style="6"/>
    <col min="7" max="8" width="12.42578125" style="9"/>
    <col min="9" max="10" width="12.42578125" style="6"/>
    <col min="11" max="11" width="12.42578125" style="9"/>
    <col min="12" max="14" width="12.42578125" style="6"/>
    <col min="15" max="15" width="12.42578125" style="9"/>
    <col min="16" max="17" width="12.42578125" style="6"/>
    <col min="18" max="18" width="12.42578125" style="9"/>
    <col min="19" max="20" width="12.42578125" style="6"/>
    <col min="21" max="21" width="12.42578125" style="9"/>
    <col min="22" max="26" width="12.42578125" style="6"/>
    <col min="27" max="28" width="12.42578125" style="9"/>
    <col min="29" max="16384" width="12.42578125" style="6"/>
  </cols>
  <sheetData>
    <row r="1" spans="2:29" s="9" customFormat="1" x14ac:dyDescent="0.25">
      <c r="B1" s="13" t="s">
        <v>115</v>
      </c>
    </row>
    <row r="2" spans="2:29" s="8" customFormat="1" x14ac:dyDescent="0.25">
      <c r="B2" s="8" t="s">
        <v>64</v>
      </c>
      <c r="C2" s="8" t="s">
        <v>65</v>
      </c>
      <c r="D2" s="8" t="s">
        <v>48</v>
      </c>
      <c r="E2" s="8" t="s">
        <v>2</v>
      </c>
      <c r="F2" s="8" t="s">
        <v>3</v>
      </c>
      <c r="G2" s="8" t="s">
        <v>5</v>
      </c>
      <c r="H2" s="8" t="s">
        <v>49</v>
      </c>
      <c r="I2" s="8" t="s">
        <v>6</v>
      </c>
      <c r="J2" s="8" t="s">
        <v>7</v>
      </c>
      <c r="K2" s="8" t="s">
        <v>8</v>
      </c>
      <c r="L2" s="8" t="s">
        <v>50</v>
      </c>
      <c r="M2" s="8" t="s">
        <v>51</v>
      </c>
      <c r="N2" s="8" t="s">
        <v>52</v>
      </c>
      <c r="O2" s="8" t="s">
        <v>53</v>
      </c>
      <c r="P2" s="8" t="s">
        <v>54</v>
      </c>
      <c r="Q2" s="8" t="s">
        <v>55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57</v>
      </c>
      <c r="W2" s="8" t="s">
        <v>58</v>
      </c>
      <c r="X2" s="8" t="s">
        <v>59</v>
      </c>
      <c r="Y2" s="8" t="s">
        <v>60</v>
      </c>
      <c r="Z2" s="8" t="s">
        <v>61</v>
      </c>
      <c r="AA2" s="8" t="s">
        <v>13</v>
      </c>
      <c r="AB2" s="8" t="s">
        <v>14</v>
      </c>
      <c r="AC2" s="8" t="s">
        <v>62</v>
      </c>
    </row>
    <row r="3" spans="2:29" s="9" customFormat="1" x14ac:dyDescent="0.25">
      <c r="B3" s="9" t="s">
        <v>66</v>
      </c>
      <c r="C3" s="16">
        <v>43866</v>
      </c>
      <c r="D3" s="10">
        <v>83000</v>
      </c>
      <c r="E3" s="10">
        <v>32.4</v>
      </c>
      <c r="F3" s="10">
        <v>15810</v>
      </c>
      <c r="G3" s="10">
        <v>326.10000000000002</v>
      </c>
      <c r="H3" s="10">
        <v>276.5</v>
      </c>
      <c r="I3" s="10">
        <v>281</v>
      </c>
      <c r="J3" s="10">
        <v>1319</v>
      </c>
      <c r="K3" s="10">
        <v>45.6</v>
      </c>
      <c r="L3" s="10">
        <v>130.9</v>
      </c>
      <c r="M3" s="10">
        <v>138.80000000000001</v>
      </c>
      <c r="N3" s="10">
        <v>142</v>
      </c>
      <c r="O3" s="10">
        <v>122.7</v>
      </c>
      <c r="P3" s="10">
        <v>147</v>
      </c>
      <c r="Q3" s="10">
        <v>120</v>
      </c>
      <c r="R3" s="10">
        <v>22.2</v>
      </c>
      <c r="S3" s="10">
        <v>20.5</v>
      </c>
      <c r="T3" s="10">
        <v>403</v>
      </c>
      <c r="U3" s="10">
        <v>151.6</v>
      </c>
      <c r="V3" s="10" t="s">
        <v>67</v>
      </c>
      <c r="W3" s="10" t="s">
        <v>67</v>
      </c>
      <c r="X3" s="10">
        <v>3.29</v>
      </c>
      <c r="Y3" s="10">
        <v>3</v>
      </c>
      <c r="Z3" s="10">
        <v>3.58</v>
      </c>
      <c r="AA3" s="10">
        <v>4.5</v>
      </c>
      <c r="AB3" s="10">
        <v>1.05</v>
      </c>
      <c r="AC3" s="10" t="s">
        <v>67</v>
      </c>
    </row>
    <row r="4" spans="2:29" s="9" customFormat="1" x14ac:dyDescent="0.25">
      <c r="B4" s="9" t="s">
        <v>68</v>
      </c>
      <c r="C4" s="16">
        <v>43866</v>
      </c>
      <c r="D4" s="10">
        <v>80500</v>
      </c>
      <c r="E4" s="10">
        <v>31.5</v>
      </c>
      <c r="F4" s="10">
        <v>15480</v>
      </c>
      <c r="G4" s="10">
        <v>313.7</v>
      </c>
      <c r="H4" s="10">
        <v>255.2</v>
      </c>
      <c r="I4" s="10">
        <v>258</v>
      </c>
      <c r="J4" s="10">
        <v>1270</v>
      </c>
      <c r="K4" s="10">
        <v>44.5</v>
      </c>
      <c r="L4" s="10">
        <v>126.1</v>
      </c>
      <c r="M4" s="10">
        <v>169</v>
      </c>
      <c r="N4" s="10">
        <v>154</v>
      </c>
      <c r="O4" s="10">
        <v>155</v>
      </c>
      <c r="P4" s="10">
        <v>182</v>
      </c>
      <c r="Q4" s="10">
        <v>158</v>
      </c>
      <c r="R4" s="10">
        <v>24.5</v>
      </c>
      <c r="S4" s="10">
        <v>21.7</v>
      </c>
      <c r="T4" s="10">
        <v>387</v>
      </c>
      <c r="U4" s="10">
        <v>147.4</v>
      </c>
      <c r="V4" s="10">
        <v>1.1499999999999999</v>
      </c>
      <c r="W4" s="10" t="s">
        <v>67</v>
      </c>
      <c r="X4" s="10">
        <v>3.3</v>
      </c>
      <c r="Y4" s="10" t="s">
        <v>67</v>
      </c>
      <c r="Z4" s="10">
        <v>2.0499999999999998</v>
      </c>
      <c r="AA4" s="10">
        <v>3.51</v>
      </c>
      <c r="AB4" s="10">
        <v>0.99</v>
      </c>
      <c r="AC4" s="10" t="s">
        <v>67</v>
      </c>
    </row>
    <row r="5" spans="2:29" s="9" customFormat="1" x14ac:dyDescent="0.25">
      <c r="B5" s="9" t="s">
        <v>66</v>
      </c>
      <c r="C5" s="16">
        <v>43871</v>
      </c>
      <c r="D5" s="10">
        <v>81500</v>
      </c>
      <c r="E5" s="10">
        <v>31.7</v>
      </c>
      <c r="F5" s="10">
        <v>15670</v>
      </c>
      <c r="G5" s="10">
        <v>315.2</v>
      </c>
      <c r="H5" s="10">
        <v>274.39999999999998</v>
      </c>
      <c r="I5" s="10">
        <v>268</v>
      </c>
      <c r="J5" s="10">
        <v>1294</v>
      </c>
      <c r="K5" s="10">
        <v>44.2</v>
      </c>
      <c r="L5" s="10">
        <v>128.30000000000001</v>
      </c>
      <c r="M5" s="10">
        <v>154.1</v>
      </c>
      <c r="N5" s="10">
        <v>156.19999999999999</v>
      </c>
      <c r="O5" s="10">
        <v>125.7</v>
      </c>
      <c r="P5" s="10">
        <v>148</v>
      </c>
      <c r="Q5" s="10">
        <v>135</v>
      </c>
      <c r="R5" s="10">
        <v>22.2</v>
      </c>
      <c r="S5" s="10">
        <v>20.41</v>
      </c>
      <c r="T5" s="10">
        <v>387.7</v>
      </c>
      <c r="U5" s="10">
        <v>155.30000000000001</v>
      </c>
      <c r="V5" s="10">
        <v>1.38</v>
      </c>
      <c r="W5" s="10" t="s">
        <v>67</v>
      </c>
      <c r="X5" s="10">
        <v>3.32</v>
      </c>
      <c r="Y5" s="10">
        <v>2.31</v>
      </c>
      <c r="Z5" s="10">
        <v>3.11</v>
      </c>
      <c r="AA5" s="10">
        <v>3.9</v>
      </c>
      <c r="AB5" s="10">
        <v>1.04</v>
      </c>
      <c r="AC5" s="10">
        <v>0.185</v>
      </c>
    </row>
    <row r="6" spans="2:29" s="9" customFormat="1" x14ac:dyDescent="0.25">
      <c r="B6" s="9" t="s">
        <v>68</v>
      </c>
      <c r="C6" s="16">
        <v>43871</v>
      </c>
      <c r="D6" s="10">
        <v>82000</v>
      </c>
      <c r="E6" s="10">
        <v>31</v>
      </c>
      <c r="F6" s="10">
        <v>15630</v>
      </c>
      <c r="G6" s="10">
        <v>316</v>
      </c>
      <c r="H6" s="10">
        <v>267.3</v>
      </c>
      <c r="I6" s="10">
        <v>267</v>
      </c>
      <c r="J6" s="10">
        <v>1271</v>
      </c>
      <c r="K6" s="10">
        <v>43.4</v>
      </c>
      <c r="L6" s="10">
        <v>130.80000000000001</v>
      </c>
      <c r="M6" s="10">
        <v>139.19999999999999</v>
      </c>
      <c r="N6" s="10">
        <v>138.9</v>
      </c>
      <c r="O6" s="10">
        <v>110</v>
      </c>
      <c r="P6" s="10">
        <v>129</v>
      </c>
      <c r="Q6" s="10">
        <v>112</v>
      </c>
      <c r="R6" s="10">
        <v>20.96</v>
      </c>
      <c r="S6" s="10">
        <v>20.3</v>
      </c>
      <c r="T6" s="10">
        <v>378</v>
      </c>
      <c r="U6" s="10">
        <v>152.19999999999999</v>
      </c>
      <c r="V6" s="10">
        <v>1.4</v>
      </c>
      <c r="W6" s="10">
        <v>0.11700000000000001</v>
      </c>
      <c r="X6" s="10">
        <v>3.15</v>
      </c>
      <c r="Y6" s="10">
        <v>3.1</v>
      </c>
      <c r="Z6" s="10">
        <v>2.85</v>
      </c>
      <c r="AA6" s="10">
        <v>4.1900000000000004</v>
      </c>
      <c r="AB6" s="10">
        <v>0.88</v>
      </c>
      <c r="AC6" s="10">
        <v>0.2</v>
      </c>
    </row>
    <row r="7" spans="2:29" s="8" customFormat="1" x14ac:dyDescent="0.25">
      <c r="B7" s="8" t="s">
        <v>69</v>
      </c>
      <c r="C7" s="17">
        <v>43866</v>
      </c>
      <c r="D7" s="8">
        <f t="shared" ref="D7:AC8" si="0">AVERAGE(D3,D5)</f>
        <v>82250</v>
      </c>
      <c r="E7" s="8">
        <f t="shared" si="0"/>
        <v>32.049999999999997</v>
      </c>
      <c r="F7" s="8">
        <f t="shared" si="0"/>
        <v>15740</v>
      </c>
      <c r="G7" s="8">
        <f t="shared" si="0"/>
        <v>320.64999999999998</v>
      </c>
      <c r="H7" s="8">
        <f t="shared" si="0"/>
        <v>275.45</v>
      </c>
      <c r="I7" s="8">
        <f t="shared" si="0"/>
        <v>274.5</v>
      </c>
      <c r="J7" s="8">
        <f t="shared" si="0"/>
        <v>1306.5</v>
      </c>
      <c r="K7" s="8">
        <f t="shared" si="0"/>
        <v>44.900000000000006</v>
      </c>
      <c r="L7" s="8">
        <f t="shared" si="0"/>
        <v>129.60000000000002</v>
      </c>
      <c r="M7" s="8">
        <f t="shared" si="0"/>
        <v>146.44999999999999</v>
      </c>
      <c r="N7" s="8">
        <f t="shared" si="0"/>
        <v>149.1</v>
      </c>
      <c r="O7" s="8">
        <f t="shared" si="0"/>
        <v>124.2</v>
      </c>
      <c r="P7" s="8">
        <f t="shared" si="0"/>
        <v>147.5</v>
      </c>
      <c r="Q7" s="8">
        <f t="shared" si="0"/>
        <v>127.5</v>
      </c>
      <c r="R7" s="8">
        <f t="shared" si="0"/>
        <v>22.2</v>
      </c>
      <c r="S7" s="8">
        <f t="shared" si="0"/>
        <v>20.454999999999998</v>
      </c>
      <c r="T7" s="8">
        <f t="shared" si="0"/>
        <v>395.35</v>
      </c>
      <c r="U7" s="8">
        <f t="shared" si="0"/>
        <v>153.44999999999999</v>
      </c>
      <c r="V7" s="8">
        <f t="shared" si="0"/>
        <v>1.38</v>
      </c>
      <c r="X7" s="8">
        <f t="shared" si="0"/>
        <v>3.3049999999999997</v>
      </c>
      <c r="Y7" s="8">
        <f t="shared" si="0"/>
        <v>2.6550000000000002</v>
      </c>
      <c r="Z7" s="8">
        <f t="shared" si="0"/>
        <v>3.3449999999999998</v>
      </c>
      <c r="AA7" s="8">
        <f t="shared" si="0"/>
        <v>4.2</v>
      </c>
      <c r="AB7" s="8">
        <f t="shared" si="0"/>
        <v>1.0449999999999999</v>
      </c>
      <c r="AC7" s="8">
        <f t="shared" si="0"/>
        <v>0.185</v>
      </c>
    </row>
    <row r="8" spans="2:29" s="8" customFormat="1" x14ac:dyDescent="0.25">
      <c r="B8" s="8" t="s">
        <v>69</v>
      </c>
      <c r="C8" s="17">
        <v>43871</v>
      </c>
      <c r="D8" s="8">
        <f t="shared" si="0"/>
        <v>81250</v>
      </c>
      <c r="E8" s="8">
        <f t="shared" si="0"/>
        <v>31.25</v>
      </c>
      <c r="F8" s="8">
        <f t="shared" si="0"/>
        <v>15555</v>
      </c>
      <c r="G8" s="8">
        <f t="shared" si="0"/>
        <v>314.85000000000002</v>
      </c>
      <c r="H8" s="8">
        <f t="shared" si="0"/>
        <v>261.25</v>
      </c>
      <c r="I8" s="8">
        <f t="shared" si="0"/>
        <v>262.5</v>
      </c>
      <c r="J8" s="8">
        <f t="shared" si="0"/>
        <v>1270.5</v>
      </c>
      <c r="K8" s="8">
        <f t="shared" si="0"/>
        <v>43.95</v>
      </c>
      <c r="L8" s="8">
        <f t="shared" si="0"/>
        <v>128.44999999999999</v>
      </c>
      <c r="M8" s="8">
        <f t="shared" si="0"/>
        <v>154.1</v>
      </c>
      <c r="N8" s="8">
        <f t="shared" si="0"/>
        <v>146.44999999999999</v>
      </c>
      <c r="O8" s="8">
        <f t="shared" si="0"/>
        <v>132.5</v>
      </c>
      <c r="P8" s="8">
        <f t="shared" si="0"/>
        <v>155.5</v>
      </c>
      <c r="Q8" s="8">
        <f t="shared" si="0"/>
        <v>135</v>
      </c>
      <c r="R8" s="8">
        <f t="shared" si="0"/>
        <v>22.73</v>
      </c>
      <c r="S8" s="8">
        <f t="shared" si="0"/>
        <v>21</v>
      </c>
      <c r="T8" s="8">
        <f t="shared" si="0"/>
        <v>382.5</v>
      </c>
      <c r="U8" s="8">
        <f t="shared" si="0"/>
        <v>149.80000000000001</v>
      </c>
      <c r="V8" s="8">
        <f t="shared" si="0"/>
        <v>1.2749999999999999</v>
      </c>
      <c r="W8" s="8">
        <f t="shared" si="0"/>
        <v>0.11700000000000001</v>
      </c>
      <c r="X8" s="8">
        <f t="shared" si="0"/>
        <v>3.2249999999999996</v>
      </c>
      <c r="Y8" s="8">
        <f t="shared" si="0"/>
        <v>3.1</v>
      </c>
      <c r="Z8" s="8">
        <f t="shared" si="0"/>
        <v>2.4500000000000002</v>
      </c>
      <c r="AA8" s="8">
        <f t="shared" si="0"/>
        <v>3.85</v>
      </c>
      <c r="AB8" s="8">
        <f t="shared" si="0"/>
        <v>0.93500000000000005</v>
      </c>
      <c r="AC8" s="8">
        <f t="shared" si="0"/>
        <v>0.2</v>
      </c>
    </row>
    <row r="9" spans="2:29" s="9" customFormat="1" x14ac:dyDescent="0.25">
      <c r="B9" s="8" t="s">
        <v>70</v>
      </c>
      <c r="D9" s="14" t="s">
        <v>71</v>
      </c>
      <c r="E9" s="14" t="s">
        <v>72</v>
      </c>
      <c r="F9" s="14" t="s">
        <v>73</v>
      </c>
      <c r="G9" s="14" t="s">
        <v>74</v>
      </c>
      <c r="H9" s="8" t="s">
        <v>75</v>
      </c>
      <c r="I9" s="8" t="s">
        <v>75</v>
      </c>
      <c r="J9" s="14" t="s">
        <v>76</v>
      </c>
      <c r="K9" s="14" t="s">
        <v>77</v>
      </c>
      <c r="L9" s="14" t="s">
        <v>78</v>
      </c>
      <c r="M9" s="14" t="s">
        <v>79</v>
      </c>
      <c r="N9" s="14" t="s">
        <v>79</v>
      </c>
      <c r="O9" s="14" t="s">
        <v>80</v>
      </c>
      <c r="P9" s="14" t="s">
        <v>80</v>
      </c>
      <c r="Q9" s="14" t="s">
        <v>80</v>
      </c>
      <c r="R9" s="14" t="s">
        <v>81</v>
      </c>
      <c r="S9" s="14" t="s">
        <v>81</v>
      </c>
      <c r="T9" s="14" t="s">
        <v>82</v>
      </c>
      <c r="U9" s="14" t="s">
        <v>83</v>
      </c>
      <c r="V9" s="14" t="s">
        <v>84</v>
      </c>
      <c r="W9" s="14" t="s">
        <v>85</v>
      </c>
      <c r="X9" s="14" t="s">
        <v>86</v>
      </c>
      <c r="Y9" s="14" t="s">
        <v>86</v>
      </c>
      <c r="Z9" s="14" t="s">
        <v>86</v>
      </c>
      <c r="AA9" s="14" t="s">
        <v>87</v>
      </c>
      <c r="AB9" s="14" t="s">
        <v>88</v>
      </c>
      <c r="AC9" s="14" t="s">
        <v>89</v>
      </c>
    </row>
    <row r="10" spans="2:29" s="15" customFormat="1" x14ac:dyDescent="0.25">
      <c r="B10" s="15" t="s">
        <v>90</v>
      </c>
      <c r="D10" s="15">
        <f>D7/81690-1</f>
        <v>6.8551842330761836E-3</v>
      </c>
      <c r="E10" s="15">
        <f>E7/31.42-1</f>
        <v>2.0050922978994024E-2</v>
      </c>
      <c r="F10" s="15">
        <f>F7/16434-1</f>
        <v>-4.2229524157235021E-2</v>
      </c>
      <c r="G10" s="15">
        <f>G7/313.8-1</f>
        <v>2.1829190567240087E-2</v>
      </c>
      <c r="H10" s="15">
        <f>H7/267.6-1</f>
        <v>2.9334828101644117E-2</v>
      </c>
      <c r="I10" s="15">
        <f>I7/287.6-1</f>
        <v>-4.554937413073723E-2</v>
      </c>
      <c r="J10" s="15">
        <f>J7/1308-1</f>
        <v>-1.1467889908256534E-3</v>
      </c>
      <c r="K10" s="15">
        <f>K7/44.9-1</f>
        <v>0</v>
      </c>
      <c r="L10" s="15">
        <f>L7/120-1</f>
        <v>8.0000000000000293E-2</v>
      </c>
      <c r="M10" s="15">
        <f>M7/137.2-1</f>
        <v>6.7419825072886352E-2</v>
      </c>
      <c r="N10" s="15">
        <f>N7/137.2-1</f>
        <v>8.6734693877551061E-2</v>
      </c>
      <c r="O10" s="18">
        <f>O7/105.1-1</f>
        <v>0.18173168411037111</v>
      </c>
      <c r="P10" s="15">
        <f>P7/105.1-1</f>
        <v>0.40342530922930542</v>
      </c>
      <c r="Q10" s="18">
        <f>Q7/105.1-1</f>
        <v>0.21313035204567088</v>
      </c>
      <c r="R10" s="15">
        <f>R7/21.32-1</f>
        <v>4.1275797373358403E-2</v>
      </c>
      <c r="S10" s="15">
        <f>S7/21.32-1</f>
        <v>-4.0572232645403439E-2</v>
      </c>
      <c r="T10" s="15">
        <f>T7/399.2-1</f>
        <v>-9.6442885771542697E-3</v>
      </c>
      <c r="U10" s="18">
        <f>U7/174.61-1</f>
        <v>-0.12118435370253722</v>
      </c>
      <c r="V10" s="15">
        <f>V7/1.061-1</f>
        <v>0.30065975494816199</v>
      </c>
      <c r="W10" s="15">
        <f>W7/0.0851-1</f>
        <v>-1</v>
      </c>
      <c r="X10" s="15">
        <f>X7/2.09-1</f>
        <v>0.58133971291866016</v>
      </c>
      <c r="Y10" s="15">
        <f>Y7/2.09-1</f>
        <v>0.27033492822966521</v>
      </c>
      <c r="Z10" s="15">
        <f>Z7/2.09-1</f>
        <v>0.6004784688995215</v>
      </c>
      <c r="AA10" s="15">
        <f>AA7/4.44-1</f>
        <v>-5.4054054054054057E-2</v>
      </c>
      <c r="AB10" s="15">
        <f>AB7/1.174-1</f>
        <v>-0.10988074957410565</v>
      </c>
      <c r="AC10" s="15">
        <f>AC7/0.212-1</f>
        <v>-0.12735849056603776</v>
      </c>
    </row>
    <row r="11" spans="2:29" s="15" customFormat="1" x14ac:dyDescent="0.25">
      <c r="B11" s="15" t="s">
        <v>90</v>
      </c>
      <c r="D11" s="15">
        <f>D8/81690-1</f>
        <v>-5.3862161831313982E-3</v>
      </c>
      <c r="E11" s="15">
        <f>E8/31.42-1</f>
        <v>-5.4105665181413132E-3</v>
      </c>
      <c r="F11" s="15">
        <f>F8/16434-1</f>
        <v>-5.3486673968601628E-2</v>
      </c>
      <c r="G11" s="15">
        <f>G8/313.8-1</f>
        <v>3.3460803059273125E-3</v>
      </c>
      <c r="H11" s="15">
        <f>H8/267.6-1</f>
        <v>-2.3729446935725096E-2</v>
      </c>
      <c r="I11" s="15">
        <f>I8/287.6-1</f>
        <v>-8.7273991655076544E-2</v>
      </c>
      <c r="J11" s="15">
        <f>J8/1308-1</f>
        <v>-2.8669724770642224E-2</v>
      </c>
      <c r="K11" s="15">
        <f>K8/44.9-1</f>
        <v>-2.1158129175946505E-2</v>
      </c>
      <c r="L11" s="15">
        <f>L8/120-1</f>
        <v>7.0416666666666572E-2</v>
      </c>
      <c r="M11" s="18">
        <f>M8/137.2-1</f>
        <v>0.12317784256559783</v>
      </c>
      <c r="N11" s="15">
        <f>N8/137.2-1</f>
        <v>6.7419825072886352E-2</v>
      </c>
      <c r="O11" s="15">
        <f>O8/105.1-1</f>
        <v>0.26070409134157946</v>
      </c>
      <c r="P11" s="15">
        <f>P8/105.1-1</f>
        <v>0.47954329210275937</v>
      </c>
      <c r="Q11" s="15">
        <f>Q8/105.1-1</f>
        <v>0.28449096098953386</v>
      </c>
      <c r="R11" s="15">
        <f>R8/21.32-1</f>
        <v>6.6135084427767277E-2</v>
      </c>
      <c r="S11" s="15">
        <f>S8/21.32-1</f>
        <v>-1.5009380863039379E-2</v>
      </c>
      <c r="T11" s="15">
        <f>T8/399.2-1</f>
        <v>-4.1833667334669311E-2</v>
      </c>
      <c r="U11" s="18">
        <f>U8/174.61-1</f>
        <v>-0.1420880820113396</v>
      </c>
      <c r="V11" s="18">
        <f>V8/1.061-1</f>
        <v>0.20169651272384548</v>
      </c>
      <c r="W11" s="15">
        <f>W8/0.0851-1</f>
        <v>0.37485311398354892</v>
      </c>
      <c r="X11" s="15">
        <f>X8/2.09-1</f>
        <v>0.54306220095693769</v>
      </c>
      <c r="Y11" s="15">
        <f>Y8/2.09-1</f>
        <v>0.4832535885167466</v>
      </c>
      <c r="Z11" s="18">
        <f>Z8/2.09-1</f>
        <v>0.17224880382775143</v>
      </c>
      <c r="AA11" s="15">
        <f>AA8/4.44-1</f>
        <v>-0.13288288288288297</v>
      </c>
      <c r="AB11" s="15">
        <f>AB8/1.174-1</f>
        <v>-0.20357751277683123</v>
      </c>
      <c r="AC11" s="15">
        <f>AC8/0.212-1</f>
        <v>-5.6603773584905537E-2</v>
      </c>
    </row>
    <row r="12" spans="2:29" s="9" customFormat="1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s="9" customFormat="1" x14ac:dyDescent="0.25">
      <c r="B13" s="9" t="s">
        <v>91</v>
      </c>
      <c r="C13" s="16">
        <v>43866</v>
      </c>
      <c r="D13" s="10">
        <v>97500</v>
      </c>
      <c r="E13" s="10">
        <v>44.2</v>
      </c>
      <c r="F13" s="10">
        <v>5250</v>
      </c>
      <c r="G13" s="10">
        <v>322.60000000000002</v>
      </c>
      <c r="H13" s="10">
        <v>403</v>
      </c>
      <c r="I13" s="10">
        <v>400</v>
      </c>
      <c r="J13" s="10">
        <v>1330</v>
      </c>
      <c r="K13" s="10">
        <v>52.1</v>
      </c>
      <c r="L13" s="10">
        <v>180</v>
      </c>
      <c r="M13" s="10">
        <v>119.1</v>
      </c>
      <c r="N13" s="10">
        <v>129.30000000000001</v>
      </c>
      <c r="O13" s="10">
        <v>88.8</v>
      </c>
      <c r="P13" s="10">
        <v>138</v>
      </c>
      <c r="Q13" s="10">
        <v>86</v>
      </c>
      <c r="R13" s="10">
        <v>14.09</v>
      </c>
      <c r="S13" s="10">
        <v>14.91</v>
      </c>
      <c r="T13" s="10">
        <v>109.4</v>
      </c>
      <c r="U13" s="10">
        <v>12.3</v>
      </c>
      <c r="V13" s="10" t="s">
        <v>67</v>
      </c>
      <c r="W13" s="10" t="s">
        <v>67</v>
      </c>
      <c r="X13" s="10">
        <v>2.2799999999999998</v>
      </c>
      <c r="Y13" s="10" t="s">
        <v>67</v>
      </c>
      <c r="Z13" s="10" t="s">
        <v>67</v>
      </c>
      <c r="AA13" s="10">
        <v>0.56000000000000005</v>
      </c>
      <c r="AB13" s="10" t="s">
        <v>67</v>
      </c>
      <c r="AC13" s="10" t="s">
        <v>67</v>
      </c>
    </row>
    <row r="14" spans="2:29" s="9" customFormat="1" x14ac:dyDescent="0.25">
      <c r="B14" s="9" t="s">
        <v>92</v>
      </c>
      <c r="C14" s="16">
        <v>43866</v>
      </c>
      <c r="D14" s="10">
        <v>92000</v>
      </c>
      <c r="E14" s="10">
        <v>40.700000000000003</v>
      </c>
      <c r="F14" s="10">
        <v>5140</v>
      </c>
      <c r="G14" s="10">
        <v>311</v>
      </c>
      <c r="H14" s="10">
        <v>370</v>
      </c>
      <c r="I14" s="10">
        <v>395</v>
      </c>
      <c r="J14" s="10">
        <v>1259</v>
      </c>
      <c r="K14" s="10">
        <v>50.8</v>
      </c>
      <c r="L14" s="10">
        <v>170</v>
      </c>
      <c r="M14" s="10">
        <v>139</v>
      </c>
      <c r="N14" s="10">
        <v>130</v>
      </c>
      <c r="O14" s="10">
        <v>113</v>
      </c>
      <c r="P14" s="10">
        <v>140</v>
      </c>
      <c r="Q14" s="10">
        <v>95</v>
      </c>
      <c r="R14" s="10">
        <v>15.22</v>
      </c>
      <c r="S14" s="10">
        <v>14.2</v>
      </c>
      <c r="T14" s="10">
        <v>104.5</v>
      </c>
      <c r="U14" s="10">
        <v>13.5</v>
      </c>
      <c r="V14" s="10">
        <v>0.89</v>
      </c>
      <c r="W14" s="10" t="s">
        <v>67</v>
      </c>
      <c r="X14" s="10">
        <v>2.04</v>
      </c>
      <c r="Y14" s="10" t="s">
        <v>67</v>
      </c>
      <c r="Z14" s="10">
        <v>1.76</v>
      </c>
      <c r="AA14" s="10">
        <v>0.5</v>
      </c>
      <c r="AB14" s="10" t="s">
        <v>67</v>
      </c>
      <c r="AC14" s="10" t="s">
        <v>67</v>
      </c>
    </row>
    <row r="15" spans="2:29" s="9" customFormat="1" x14ac:dyDescent="0.25">
      <c r="B15" s="9" t="s">
        <v>91</v>
      </c>
      <c r="C15" s="16">
        <v>43871</v>
      </c>
      <c r="D15" s="10">
        <v>95900</v>
      </c>
      <c r="E15" s="10">
        <v>43.3</v>
      </c>
      <c r="F15" s="10">
        <v>5830</v>
      </c>
      <c r="G15" s="10">
        <v>338.3</v>
      </c>
      <c r="H15" s="10">
        <v>394</v>
      </c>
      <c r="I15" s="10">
        <v>393</v>
      </c>
      <c r="J15" s="10">
        <v>1306</v>
      </c>
      <c r="K15" s="10">
        <v>51.2</v>
      </c>
      <c r="L15" s="10">
        <v>174.1</v>
      </c>
      <c r="M15" s="10">
        <v>142</v>
      </c>
      <c r="N15" s="10">
        <v>130.30000000000001</v>
      </c>
      <c r="O15" s="10">
        <v>93.1</v>
      </c>
      <c r="P15" s="10">
        <v>104</v>
      </c>
      <c r="Q15" s="10">
        <v>87</v>
      </c>
      <c r="R15" s="10">
        <v>14.26</v>
      </c>
      <c r="S15" s="10">
        <v>14.85</v>
      </c>
      <c r="T15" s="10">
        <v>106.3</v>
      </c>
      <c r="U15" s="10">
        <v>13.37</v>
      </c>
      <c r="V15" s="10" t="s">
        <v>67</v>
      </c>
      <c r="W15" s="10">
        <v>5.6000000000000001E-2</v>
      </c>
      <c r="X15" s="10">
        <v>1.47</v>
      </c>
      <c r="Y15" s="10" t="s">
        <v>67</v>
      </c>
      <c r="Z15" s="10">
        <v>2.02</v>
      </c>
      <c r="AA15" s="10">
        <v>0.6</v>
      </c>
      <c r="AB15" s="10">
        <v>3.9E-2</v>
      </c>
      <c r="AC15" s="10" t="s">
        <v>67</v>
      </c>
    </row>
    <row r="16" spans="2:29" s="8" customFormat="1" x14ac:dyDescent="0.25">
      <c r="B16" s="9" t="s">
        <v>92</v>
      </c>
      <c r="C16" s="16">
        <v>43871</v>
      </c>
      <c r="D16" s="10">
        <v>96800</v>
      </c>
      <c r="E16" s="10">
        <v>43.4</v>
      </c>
      <c r="F16" s="10">
        <v>5600</v>
      </c>
      <c r="G16" s="10">
        <v>319.3</v>
      </c>
      <c r="H16" s="10">
        <v>370</v>
      </c>
      <c r="I16" s="10">
        <v>353</v>
      </c>
      <c r="J16" s="10">
        <v>1320</v>
      </c>
      <c r="K16" s="10">
        <v>53.1</v>
      </c>
      <c r="L16" s="10">
        <v>166</v>
      </c>
      <c r="M16" s="10">
        <v>130.69999999999999</v>
      </c>
      <c r="N16" s="10">
        <v>128.4</v>
      </c>
      <c r="O16" s="10">
        <v>86.3</v>
      </c>
      <c r="P16" s="10">
        <v>105</v>
      </c>
      <c r="Q16" s="10">
        <v>89</v>
      </c>
      <c r="R16" s="10">
        <v>14.22</v>
      </c>
      <c r="S16" s="10">
        <v>14.09</v>
      </c>
      <c r="T16" s="10">
        <v>107.6</v>
      </c>
      <c r="U16" s="10">
        <v>12.93</v>
      </c>
      <c r="V16" s="10" t="s">
        <v>67</v>
      </c>
      <c r="W16" s="10">
        <v>0.105</v>
      </c>
      <c r="X16" s="10">
        <v>1.86</v>
      </c>
      <c r="Y16" s="10">
        <v>2.12</v>
      </c>
      <c r="Z16" s="10">
        <v>1.86</v>
      </c>
      <c r="AA16" s="10">
        <v>0.32</v>
      </c>
      <c r="AB16" s="10">
        <v>2.7E-2</v>
      </c>
      <c r="AC16" s="10" t="s">
        <v>67</v>
      </c>
    </row>
    <row r="17" spans="2:29" s="8" customFormat="1" x14ac:dyDescent="0.25">
      <c r="B17" s="8" t="s">
        <v>69</v>
      </c>
      <c r="C17" s="17">
        <v>43866</v>
      </c>
      <c r="D17" s="8">
        <f t="shared" ref="D17:AB18" si="1">AVERAGE(D13,D15)</f>
        <v>96700</v>
      </c>
      <c r="E17" s="8">
        <f t="shared" si="1"/>
        <v>43.75</v>
      </c>
      <c r="F17" s="8">
        <f t="shared" si="1"/>
        <v>5540</v>
      </c>
      <c r="G17" s="8">
        <f t="shared" si="1"/>
        <v>330.45000000000005</v>
      </c>
      <c r="H17" s="8">
        <f t="shared" si="1"/>
        <v>398.5</v>
      </c>
      <c r="I17" s="8">
        <f t="shared" si="1"/>
        <v>396.5</v>
      </c>
      <c r="J17" s="8">
        <f t="shared" si="1"/>
        <v>1318</v>
      </c>
      <c r="K17" s="8">
        <f t="shared" si="1"/>
        <v>51.650000000000006</v>
      </c>
      <c r="L17" s="8">
        <f t="shared" si="1"/>
        <v>177.05</v>
      </c>
      <c r="M17" s="8">
        <f t="shared" si="1"/>
        <v>130.55000000000001</v>
      </c>
      <c r="N17" s="8">
        <f t="shared" si="1"/>
        <v>129.80000000000001</v>
      </c>
      <c r="O17" s="8">
        <f t="shared" si="1"/>
        <v>90.949999999999989</v>
      </c>
      <c r="P17" s="8">
        <f t="shared" si="1"/>
        <v>121</v>
      </c>
      <c r="Q17" s="8">
        <f t="shared" si="1"/>
        <v>86.5</v>
      </c>
      <c r="R17" s="8">
        <f t="shared" si="1"/>
        <v>14.175000000000001</v>
      </c>
      <c r="S17" s="8">
        <f t="shared" si="1"/>
        <v>14.879999999999999</v>
      </c>
      <c r="T17" s="8">
        <f t="shared" si="1"/>
        <v>107.85</v>
      </c>
      <c r="U17" s="8">
        <f t="shared" si="1"/>
        <v>12.835000000000001</v>
      </c>
      <c r="W17" s="8">
        <f t="shared" si="1"/>
        <v>5.6000000000000001E-2</v>
      </c>
      <c r="X17" s="8">
        <f t="shared" si="1"/>
        <v>1.875</v>
      </c>
      <c r="Z17" s="8">
        <f t="shared" si="1"/>
        <v>2.02</v>
      </c>
      <c r="AA17" s="8">
        <f t="shared" si="1"/>
        <v>0.58000000000000007</v>
      </c>
      <c r="AB17" s="8">
        <f t="shared" si="1"/>
        <v>3.9E-2</v>
      </c>
    </row>
    <row r="18" spans="2:29" s="8" customFormat="1" x14ac:dyDescent="0.25">
      <c r="B18" s="8" t="s">
        <v>69</v>
      </c>
      <c r="C18" s="17">
        <v>43871</v>
      </c>
      <c r="D18" s="8">
        <f t="shared" si="1"/>
        <v>94400</v>
      </c>
      <c r="E18" s="8">
        <f t="shared" si="1"/>
        <v>42.05</v>
      </c>
      <c r="F18" s="8">
        <f t="shared" si="1"/>
        <v>5370</v>
      </c>
      <c r="G18" s="8">
        <f t="shared" si="1"/>
        <v>315.14999999999998</v>
      </c>
      <c r="H18" s="8">
        <f t="shared" si="1"/>
        <v>370</v>
      </c>
      <c r="I18" s="8">
        <f t="shared" si="1"/>
        <v>374</v>
      </c>
      <c r="J18" s="8">
        <f t="shared" si="1"/>
        <v>1289.5</v>
      </c>
      <c r="K18" s="8">
        <f t="shared" si="1"/>
        <v>51.95</v>
      </c>
      <c r="L18" s="8">
        <f t="shared" si="1"/>
        <v>168</v>
      </c>
      <c r="M18" s="8">
        <f t="shared" si="1"/>
        <v>134.85</v>
      </c>
      <c r="N18" s="8">
        <f t="shared" si="1"/>
        <v>129.19999999999999</v>
      </c>
      <c r="O18" s="8">
        <f t="shared" si="1"/>
        <v>99.65</v>
      </c>
      <c r="P18" s="8">
        <f t="shared" si="1"/>
        <v>122.5</v>
      </c>
      <c r="Q18" s="8">
        <f t="shared" si="1"/>
        <v>92</v>
      </c>
      <c r="R18" s="8">
        <f t="shared" si="1"/>
        <v>14.72</v>
      </c>
      <c r="S18" s="8">
        <f t="shared" si="1"/>
        <v>14.145</v>
      </c>
      <c r="T18" s="8">
        <f t="shared" si="1"/>
        <v>106.05</v>
      </c>
      <c r="U18" s="8">
        <f t="shared" si="1"/>
        <v>13.215</v>
      </c>
      <c r="V18" s="8">
        <f t="shared" si="1"/>
        <v>0.89</v>
      </c>
      <c r="W18" s="8">
        <f t="shared" si="1"/>
        <v>0.105</v>
      </c>
      <c r="X18" s="8">
        <f t="shared" si="1"/>
        <v>1.9500000000000002</v>
      </c>
      <c r="Y18" s="8">
        <f t="shared" si="1"/>
        <v>2.12</v>
      </c>
      <c r="Z18" s="8">
        <f t="shared" si="1"/>
        <v>1.81</v>
      </c>
      <c r="AA18" s="8">
        <f t="shared" si="1"/>
        <v>0.41000000000000003</v>
      </c>
      <c r="AB18" s="8">
        <f t="shared" si="1"/>
        <v>2.7E-2</v>
      </c>
    </row>
    <row r="19" spans="2:29" s="9" customFormat="1" x14ac:dyDescent="0.25">
      <c r="B19" s="8" t="s">
        <v>70</v>
      </c>
      <c r="C19" s="8"/>
      <c r="D19" s="8" t="s">
        <v>93</v>
      </c>
      <c r="E19" s="8" t="s">
        <v>94</v>
      </c>
      <c r="F19" s="8" t="s">
        <v>95</v>
      </c>
      <c r="G19" s="8" t="s">
        <v>96</v>
      </c>
      <c r="H19" s="8" t="s">
        <v>97</v>
      </c>
      <c r="I19" s="8" t="s">
        <v>97</v>
      </c>
      <c r="J19" s="8" t="s">
        <v>98</v>
      </c>
      <c r="K19" s="8" t="s">
        <v>99</v>
      </c>
      <c r="L19" s="8" t="s">
        <v>100</v>
      </c>
      <c r="M19" s="8" t="s">
        <v>101</v>
      </c>
      <c r="N19" s="8" t="s">
        <v>101</v>
      </c>
      <c r="O19" s="8" t="s">
        <v>102</v>
      </c>
      <c r="P19" s="8" t="s">
        <v>102</v>
      </c>
      <c r="Q19" s="8" t="s">
        <v>102</v>
      </c>
      <c r="R19" s="8" t="s">
        <v>103</v>
      </c>
      <c r="S19" s="8" t="s">
        <v>103</v>
      </c>
      <c r="T19" s="8" t="s">
        <v>104</v>
      </c>
      <c r="U19" s="8" t="s">
        <v>105</v>
      </c>
      <c r="V19" s="8" t="s">
        <v>106</v>
      </c>
      <c r="W19" s="8" t="s">
        <v>107</v>
      </c>
      <c r="X19" s="8" t="s">
        <v>108</v>
      </c>
      <c r="Y19" s="8" t="s">
        <v>108</v>
      </c>
      <c r="Z19" s="8" t="s">
        <v>108</v>
      </c>
      <c r="AA19" s="8" t="s">
        <v>109</v>
      </c>
      <c r="AB19" s="8" t="s">
        <v>110</v>
      </c>
      <c r="AC19" s="8" t="s">
        <v>111</v>
      </c>
    </row>
    <row r="20" spans="2:29" s="15" customFormat="1" ht="15" customHeight="1" x14ac:dyDescent="0.25">
      <c r="B20" s="15" t="s">
        <v>90</v>
      </c>
      <c r="D20" s="15">
        <f>D17/94983-1</f>
        <v>1.8076919027615546E-2</v>
      </c>
      <c r="E20" s="15">
        <f>E17/43.21-1</f>
        <v>1.24971071511224E-2</v>
      </c>
      <c r="F20" s="15">
        <f>5715/5746-1</f>
        <v>-5.3950574312565669E-3</v>
      </c>
      <c r="G20" s="15">
        <f>G17/320.6-1</f>
        <v>3.0723643169058068E-2</v>
      </c>
      <c r="H20" s="15">
        <f>H17/392.9-1</f>
        <v>1.4252990582845459E-2</v>
      </c>
      <c r="I20" s="15">
        <f>I17/392.9-1</f>
        <v>9.1626368032577954E-3</v>
      </c>
      <c r="J20" s="15">
        <f>J17/1341-1</f>
        <v>-1.7151379567486913E-2</v>
      </c>
      <c r="K20" s="15">
        <f>K17/52.22-1</f>
        <v>-1.0915358100344608E-2</v>
      </c>
      <c r="L20" s="15">
        <f>L17/168.9-1</f>
        <v>4.8253404381290776E-2</v>
      </c>
      <c r="M20" s="15">
        <f>M17/120.7-1</f>
        <v>8.1607290803645371E-2</v>
      </c>
      <c r="N20" s="15">
        <f>N17/120.7-1</f>
        <v>7.5393537696768931E-2</v>
      </c>
      <c r="O20" s="15">
        <f t="shared" ref="O20:Q21" si="2">O17/70.4-1</f>
        <v>0.29190340909090873</v>
      </c>
      <c r="P20" s="15">
        <f t="shared" si="2"/>
        <v>0.71874999999999978</v>
      </c>
      <c r="Q20" s="18">
        <f t="shared" si="2"/>
        <v>0.22869318181818166</v>
      </c>
      <c r="R20" s="15">
        <f>R17/15.46-1</f>
        <v>-8.3117723156532985E-2</v>
      </c>
      <c r="S20" s="15">
        <f>S17/15.46-1</f>
        <v>-3.7516170763260193E-2</v>
      </c>
      <c r="T20" s="15">
        <f>T17/108.6-1</f>
        <v>-6.906077348066253E-3</v>
      </c>
      <c r="U20" s="18">
        <f>U17/14.8-1</f>
        <v>-0.13277027027027022</v>
      </c>
      <c r="W20" s="15">
        <f>W17/0.0576-1</f>
        <v>-2.7777777777777679E-2</v>
      </c>
      <c r="X20" s="15">
        <f>X17/0.701-1</f>
        <v>1.674750356633381</v>
      </c>
      <c r="Z20" s="15">
        <f>Z17/0.701-1</f>
        <v>1.8815977175463625</v>
      </c>
      <c r="AA20" s="15">
        <f>AA17/0.5822-1</f>
        <v>-3.7787701820679587E-3</v>
      </c>
      <c r="AB20" s="15">
        <f>AB17/0.0414-1</f>
        <v>-5.7971014492753659E-2</v>
      </c>
    </row>
    <row r="21" spans="2:29" s="15" customFormat="1" ht="15" customHeight="1" x14ac:dyDescent="0.25">
      <c r="B21" s="15" t="s">
        <v>90</v>
      </c>
      <c r="D21" s="15">
        <f>D18/94983-1</f>
        <v>-6.1379404735584231E-3</v>
      </c>
      <c r="E21" s="15">
        <f>E18/43.21-1</f>
        <v>-2.684563758389269E-2</v>
      </c>
      <c r="F21" s="15">
        <f>5715/5746-1</f>
        <v>-5.3950574312565669E-3</v>
      </c>
      <c r="G21" s="15">
        <f>G18/320.6-1</f>
        <v>-1.6999376169681946E-2</v>
      </c>
      <c r="H21" s="15">
        <f>H18/392.9-1</f>
        <v>-5.8284550776278921E-2</v>
      </c>
      <c r="I21" s="15">
        <f>I18/392.9-1</f>
        <v>-4.8103843217103481E-2</v>
      </c>
      <c r="J21" s="15">
        <f>J18/1341-1</f>
        <v>-3.8404175988068556E-2</v>
      </c>
      <c r="K21" s="15">
        <f>K18/52.22-1</f>
        <v>-5.1704327843736797E-3</v>
      </c>
      <c r="L21" s="15">
        <f>L18/168.9-1</f>
        <v>-5.3285968028419228E-3</v>
      </c>
      <c r="M21" s="18">
        <f>M18/120.7-1</f>
        <v>0.11723280861640428</v>
      </c>
      <c r="N21" s="15">
        <f>N18/120.7-1</f>
        <v>7.0422535211267512E-2</v>
      </c>
      <c r="O21" s="15">
        <f t="shared" si="2"/>
        <v>0.41548295454545459</v>
      </c>
      <c r="P21" s="15">
        <f t="shared" si="2"/>
        <v>0.74005681818181812</v>
      </c>
      <c r="Q21" s="15">
        <f t="shared" si="2"/>
        <v>0.30681818181818166</v>
      </c>
      <c r="R21" s="15">
        <f>R18/15.46-1</f>
        <v>-4.7865459249676556E-2</v>
      </c>
      <c r="S21" s="15">
        <f>S18/15.46-1</f>
        <v>-8.5058214747736116E-2</v>
      </c>
      <c r="T21" s="15">
        <f>T18/108.6-1</f>
        <v>-2.3480662983425438E-2</v>
      </c>
      <c r="U21" s="18">
        <f>U18/14.8-1</f>
        <v>-0.10709459459459469</v>
      </c>
      <c r="W21" s="15">
        <f>W18/0.0576-1</f>
        <v>0.82291666666666674</v>
      </c>
      <c r="X21" s="15">
        <f>X18/0.701-1</f>
        <v>1.7817403708987167</v>
      </c>
      <c r="Y21" s="15">
        <f>Y18/0.701-1</f>
        <v>2.024251069900143</v>
      </c>
      <c r="Z21" s="15">
        <f>Z18/0.701-1</f>
        <v>1.5820256776034238</v>
      </c>
      <c r="AA21" s="15">
        <f>AA18/0.5822-1</f>
        <v>-0.29577464788732399</v>
      </c>
      <c r="AB21" s="15">
        <f>AB18/0.0414-1</f>
        <v>-0.34782608695652173</v>
      </c>
    </row>
    <row r="22" spans="2:29" s="9" customFormat="1" x14ac:dyDescent="0.25"/>
    <row r="23" spans="2:29" s="9" customFormat="1" x14ac:dyDescent="0.25">
      <c r="D23" s="19" t="s">
        <v>113</v>
      </c>
      <c r="X23" s="13"/>
    </row>
    <row r="24" spans="2:29" s="9" customFormat="1" x14ac:dyDescent="0.25">
      <c r="D24" s="20" t="s">
        <v>114</v>
      </c>
    </row>
    <row r="25" spans="2:29" s="9" customFormat="1" x14ac:dyDescent="0.25">
      <c r="D25" s="13" t="s">
        <v>132</v>
      </c>
    </row>
    <row r="26" spans="2:29" s="9" customFormat="1" x14ac:dyDescent="0.25"/>
    <row r="27" spans="2:29" s="9" customFormat="1" x14ac:dyDescent="0.25"/>
    <row r="28" spans="2:29" s="9" customFormat="1" x14ac:dyDescent="0.25"/>
    <row r="29" spans="2:29" s="9" customFormat="1" x14ac:dyDescent="0.25"/>
    <row r="30" spans="2:29" s="9" customFormat="1" x14ac:dyDescent="0.25"/>
    <row r="31" spans="2:29" s="9" customFormat="1" x14ac:dyDescent="0.25"/>
    <row r="32" spans="2:29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</sheetData>
  <conditionalFormatting sqref="D20:AC21 D10:AC11">
    <cfRule type="cellIs" dxfId="3" priority="6" operator="between">
      <formula>-0.1</formula>
      <formula>0.1</formula>
    </cfRule>
  </conditionalFormatting>
  <conditionalFormatting sqref="D10:AC11 D20:AC21">
    <cfRule type="cellIs" dxfId="2" priority="1" operator="lessThan">
      <formula>-0.25</formula>
    </cfRule>
    <cfRule type="cellIs" dxfId="1" priority="2" operator="greaterThan">
      <formula>0.25</formula>
    </cfRule>
    <cfRule type="cellIs" dxfId="0" priority="3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A3 olivine EPMA</vt:lpstr>
      <vt:lpstr>Table A4 olivine LA-ICP-MS</vt:lpstr>
      <vt:lpstr>Table A5 chromite EPMA</vt:lpstr>
      <vt:lpstr>Table A6 glass EPMA</vt:lpstr>
      <vt:lpstr>Table A7 glass LA-ICP-MS</vt:lpstr>
      <vt:lpstr>Table A8 BIR BHVO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jbrenan</dc:creator>
  <cp:lastModifiedBy>jbrenan</cp:lastModifiedBy>
  <dcterms:created xsi:type="dcterms:W3CDTF">2020-03-14T15:19:33Z</dcterms:created>
  <dcterms:modified xsi:type="dcterms:W3CDTF">2020-06-02T12:40:47Z</dcterms:modified>
</cp:coreProperties>
</file>