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3645" activeTab="0"/>
  </bookViews>
  <sheets>
    <sheet name="E-GRG-1" sheetId="1" r:id="rId1"/>
    <sheet name="Pass1 Conc" sheetId="2" r:id="rId2"/>
    <sheet name="Pass 1 Tails" sheetId="3" r:id="rId3"/>
    <sheet name="Pass 1 Grind (15min)" sheetId="4" r:id="rId4"/>
    <sheet name="Pass 2 Conc" sheetId="5" r:id="rId5"/>
    <sheet name="Pass 2 Tail (A)" sheetId="6" r:id="rId6"/>
    <sheet name="Pass 2 Tail (B)" sheetId="7" r:id="rId7"/>
    <sheet name="Pass 2 Grind (46.33min)" sheetId="8" r:id="rId8"/>
    <sheet name="Pass 3 Conc" sheetId="9" r:id="rId9"/>
    <sheet name="Pass 3 Tail (A)" sheetId="10" r:id="rId10"/>
    <sheet name="Pass 3 Tail (B)" sheetId="11" r:id="rId11"/>
    <sheet name="Pass 3 Tail (C)" sheetId="12" r:id="rId12"/>
    <sheet name="Pass 3 Tail (D)" sheetId="13" r:id="rId13"/>
  </sheets>
  <externalReferences>
    <externalReference r:id="rId16"/>
  </externalReferences>
  <definedNames>
    <definedName name="Copy_Area" localSheetId="3">'Pass 1 Grind (15min)'!$A$6:$F$25</definedName>
    <definedName name="Copy_Area" localSheetId="2">'Pass 1 Tails'!$A$6:$F$25</definedName>
    <definedName name="Copy_Area" localSheetId="4">'Pass 2 Conc'!$A$6:$F$25</definedName>
    <definedName name="Copy_Area" localSheetId="7">'Pass 2 Grind (46.33min)'!$A$6:$F$25</definedName>
    <definedName name="Copy_Area" localSheetId="5">'Pass 2 Tail (A)'!$A$6:$F$25</definedName>
    <definedName name="Copy_Area" localSheetId="6">'Pass 2 Tail (B)'!$A$6:$F$25</definedName>
    <definedName name="Copy_Area" localSheetId="8">'Pass 3 Conc'!$A$6:$F$25</definedName>
    <definedName name="Copy_Area" localSheetId="9">'Pass 3 Tail (A)'!$A$6:$F$25</definedName>
    <definedName name="Copy_Area" localSheetId="10">'Pass 3 Tail (B)'!$A$6:$F$25</definedName>
    <definedName name="Copy_Area" localSheetId="11">'Pass 3 Tail (C)'!$A$6:$F$25</definedName>
    <definedName name="Copy_Area" localSheetId="12">'Pass 3 Tail (D)'!$A$6:$F$25</definedName>
    <definedName name="Copy_Area" localSheetId="1">'Pass1 Conc'!$A$6:$F$25</definedName>
    <definedName name="Copy_Area">#REF!</definedName>
    <definedName name="_xlnm.Print_Area" localSheetId="0">'E-GRG-1'!$B$2:$K$47,'E-GRG-1'!$B$48:$M$100,'E-GRG-1'!$B$102:$K$162</definedName>
    <definedName name="_xlnm.Print_Area" localSheetId="3">'Pass 1 Grind (15min)'!$A$1:$F$43</definedName>
    <definedName name="_xlnm.Print_Area" localSheetId="2">'Pass 1 Tails'!$A$1:$F$43</definedName>
    <definedName name="_xlnm.Print_Area" localSheetId="4">'Pass 2 Conc'!$A$1:$F$43</definedName>
    <definedName name="_xlnm.Print_Area" localSheetId="7">'Pass 2 Grind (46.33min)'!$A$1:$F$43</definedName>
    <definedName name="_xlnm.Print_Area" localSheetId="5">'Pass 2 Tail (A)'!$A$1:$F$43</definedName>
    <definedName name="_xlnm.Print_Area" localSheetId="6">'Pass 2 Tail (B)'!$A$1:$F$43</definedName>
    <definedName name="_xlnm.Print_Area" localSheetId="8">'Pass 3 Conc'!$A$1:$F$43</definedName>
    <definedName name="_xlnm.Print_Area" localSheetId="9">'Pass 3 Tail (A)'!$A$1:$F$43</definedName>
    <definedName name="_xlnm.Print_Area" localSheetId="10">'Pass 3 Tail (B)'!$A$1:$F$43</definedName>
    <definedName name="_xlnm.Print_Area" localSheetId="11">'Pass 3 Tail (C)'!$A$1:$F$43</definedName>
    <definedName name="_xlnm.Print_Area" localSheetId="12">'Pass 3 Tail (D)'!$A$1:$F$43</definedName>
    <definedName name="_xlnm.Print_Area" localSheetId="1">'Pass1 Conc'!$A$1:$F$43</definedName>
    <definedName name="_xlnm.Print_Titles" localSheetId="0">'E-GRG-1'!$2:$5</definedName>
  </definedNames>
  <calcPr fullCalcOnLoad="1"/>
</workbook>
</file>

<file path=xl/sharedStrings.xml><?xml version="1.0" encoding="utf-8"?>
<sst xmlns="http://schemas.openxmlformats.org/spreadsheetml/2006/main" count="484" uniqueCount="125">
  <si>
    <t>Purpose:</t>
  </si>
  <si>
    <t>Procedure:</t>
  </si>
  <si>
    <t>Feed:</t>
  </si>
  <si>
    <t>Grind:</t>
  </si>
  <si>
    <t>no grind. (100% passing 20 mesh)</t>
  </si>
  <si>
    <t>Metallurgical Balance:</t>
  </si>
  <si>
    <t>Grind Size</t>
  </si>
  <si>
    <t>Product</t>
  </si>
  <si>
    <t>Mass</t>
  </si>
  <si>
    <t>Assay</t>
  </si>
  <si>
    <t>Units</t>
  </si>
  <si>
    <t>Dist'n</t>
  </si>
  <si>
    <t>grams</t>
  </si>
  <si>
    <t>%</t>
  </si>
  <si>
    <t>Au (g/t)</t>
  </si>
  <si>
    <t>Au</t>
  </si>
  <si>
    <t>Stage 1 Conc</t>
  </si>
  <si>
    <t>Sampled Tails</t>
  </si>
  <si>
    <t>Stage 2 Conc</t>
  </si>
  <si>
    <t>Stage 3 Conc</t>
  </si>
  <si>
    <t>Final Tails</t>
  </si>
  <si>
    <t>Totals (Head)</t>
  </si>
  <si>
    <t>Knelson Conc</t>
  </si>
  <si>
    <t>Stage 1:  Metallurgical Balance</t>
  </si>
  <si>
    <t>Size</t>
  </si>
  <si>
    <t>Conc 1 Mass</t>
  </si>
  <si>
    <t>Au Dist.</t>
  </si>
  <si>
    <t>Tail 1 Mass</t>
  </si>
  <si>
    <t>Conc</t>
  </si>
  <si>
    <t>Tails</t>
  </si>
  <si>
    <t>Mesh</t>
  </si>
  <si>
    <t>(µm)</t>
  </si>
  <si>
    <t>gram</t>
  </si>
  <si>
    <t>Au g/t</t>
  </si>
  <si>
    <t>Au units</t>
  </si>
  <si>
    <t>-500</t>
  </si>
  <si>
    <t>Total</t>
  </si>
  <si>
    <t>Stage 2:  Metallurgical Balance</t>
  </si>
  <si>
    <t>Conc 2 Mass</t>
  </si>
  <si>
    <t>Tail 2 Mass</t>
  </si>
  <si>
    <t>Stage 3:  Metallurgical Balance</t>
  </si>
  <si>
    <t>Conc 3 Mass</t>
  </si>
  <si>
    <t>Tail 3 Mass</t>
  </si>
  <si>
    <t>Overall Metallurgical Balance</t>
  </si>
  <si>
    <t>Units of Au</t>
  </si>
  <si>
    <t>Units Lost to Sampling</t>
  </si>
  <si>
    <t>Conc 1</t>
  </si>
  <si>
    <t>Conc 2</t>
  </si>
  <si>
    <t>Conc 3</t>
  </si>
  <si>
    <t>Tail 3</t>
  </si>
  <si>
    <t>Tail 1</t>
  </si>
  <si>
    <t>Tail 2</t>
  </si>
  <si>
    <t>Total units of Au in Feed</t>
  </si>
  <si>
    <t>Overall Recoveries</t>
  </si>
  <si>
    <t>Cumulative  Recovery (GRG)</t>
  </si>
  <si>
    <t>Stage 1</t>
  </si>
  <si>
    <t>Stage 2</t>
  </si>
  <si>
    <t>Stage 3</t>
  </si>
  <si>
    <t>Fraction</t>
  </si>
  <si>
    <t>SGS Minerals Services</t>
  </si>
  <si>
    <t>Project No.</t>
  </si>
  <si>
    <t>Size Distribution Analysis</t>
  </si>
  <si>
    <t>Sample:</t>
  </si>
  <si>
    <t>Test No.:</t>
  </si>
  <si>
    <t>Weight</t>
  </si>
  <si>
    <t>% Retained</t>
  </si>
  <si>
    <t>% Passing</t>
  </si>
  <si>
    <t>Enter K</t>
  </si>
  <si>
    <t>µm</t>
  </si>
  <si>
    <t>Individual</t>
  </si>
  <si>
    <t>Cumulative</t>
  </si>
  <si>
    <t>Pan</t>
  </si>
  <si>
    <t>-</t>
  </si>
  <si>
    <t>Graph Lines</t>
  </si>
  <si>
    <t>Calculations</t>
  </si>
  <si>
    <t>Pass 2 Conc</t>
  </si>
  <si>
    <t>Pass 3 Conc</t>
  </si>
  <si>
    <t>Stage 1:</t>
  </si>
  <si>
    <t>Stage 2:</t>
  </si>
  <si>
    <t>Stage 3:</t>
  </si>
  <si>
    <t>Stage 3 Tailing Sub-Sample, grams</t>
  </si>
  <si>
    <t>Stage 2 Tailing Sub-Sample, grams</t>
  </si>
  <si>
    <t>Stage 1 Tailing Sub-Sample, grams</t>
  </si>
  <si>
    <t>Concentrate 3</t>
  </si>
  <si>
    <t>Tailing 3</t>
  </si>
  <si>
    <t>Concentrate 2</t>
  </si>
  <si>
    <t>Tailing 2</t>
  </si>
  <si>
    <t>Concentrate 1</t>
  </si>
  <si>
    <t>Tailing 1</t>
  </si>
  <si>
    <t>Feed Grade (g/t Au)</t>
  </si>
  <si>
    <t>Technician:</t>
  </si>
  <si>
    <t>Date:</t>
  </si>
  <si>
    <t>% Au Recovery</t>
  </si>
  <si>
    <t>From Au available in size fraction</t>
  </si>
  <si>
    <t>From total Au avail. in this stage</t>
  </si>
  <si>
    <t>20# no grind</t>
  </si>
  <si>
    <r>
      <t>Target P</t>
    </r>
    <r>
      <rPr>
        <vertAlign val="subscript"/>
        <sz val="10"/>
        <rFont val="Arial"/>
        <family val="2"/>
      </rPr>
      <t>80</t>
    </r>
  </si>
  <si>
    <r>
      <t>P</t>
    </r>
    <r>
      <rPr>
        <vertAlign val="subscript"/>
        <sz val="10"/>
        <rFont val="Arial"/>
        <family val="2"/>
      </rPr>
      <t xml:space="preserve">80     </t>
    </r>
    <r>
      <rPr>
        <sz val="10"/>
        <rFont val="Arial"/>
        <family val="2"/>
      </rPr>
      <t>=</t>
    </r>
  </si>
  <si>
    <r>
      <t>P</t>
    </r>
    <r>
      <rPr>
        <vertAlign val="subscript"/>
        <sz val="10"/>
        <rFont val="Arial"/>
        <family val="2"/>
      </rPr>
      <t>80</t>
    </r>
    <r>
      <rPr>
        <sz val="10"/>
        <rFont val="Arial"/>
        <family val="2"/>
      </rPr>
      <t xml:space="preserve"> = </t>
    </r>
  </si>
  <si>
    <t>Project No.:  14196-002</t>
  </si>
  <si>
    <t>BS-3A13-03</t>
  </si>
  <si>
    <r>
      <t xml:space="preserve">To determine the gravity-recoverable gold number (GRG) applying the standard E-GRG procedure to the sample </t>
    </r>
    <r>
      <rPr>
        <b/>
        <sz val="10"/>
        <color indexed="8"/>
        <rFont val="Arial"/>
        <family val="2"/>
      </rPr>
      <t xml:space="preserve">BS-3A13-03 </t>
    </r>
  </si>
  <si>
    <t>20-kg -20 mesh  Sample BS-3A13-03</t>
  </si>
  <si>
    <t>14196-002</t>
  </si>
  <si>
    <t>Pass 1 Tails</t>
  </si>
  <si>
    <t>Pass 1 Conc</t>
  </si>
  <si>
    <t>Pass 1 Grind (15min)</t>
  </si>
  <si>
    <t>Test:  E-GRG-1</t>
  </si>
  <si>
    <t>E-GRG 1</t>
  </si>
  <si>
    <t xml:space="preserve">E-GRG 1 </t>
  </si>
  <si>
    <t>E-GRG-1</t>
  </si>
  <si>
    <t>Pass 2 Tail (A)</t>
  </si>
  <si>
    <t>Pass 2 Tail (B)</t>
  </si>
  <si>
    <t>Fraser</t>
  </si>
  <si>
    <t>Pass 2 Grind (46.33 min)</t>
  </si>
  <si>
    <t>Pass 3 Tail (A)</t>
  </si>
  <si>
    <t>Pass 3 Tail (B)</t>
  </si>
  <si>
    <t>Pass 3 Tail (C)</t>
  </si>
  <si>
    <t>Pass 3 Tail (D)</t>
  </si>
  <si>
    <t>total = 94 minutes</t>
  </si>
  <si>
    <r>
      <t>Incremental</t>
    </r>
    <r>
      <rPr>
        <b/>
        <sz val="9"/>
        <rFont val="Arial"/>
        <family val="2"/>
      </rPr>
      <t xml:space="preserve"> Au Rec</t>
    </r>
  </si>
  <si>
    <t>Direct Head</t>
  </si>
  <si>
    <t>For stage 1, 20-kg of -20 mesh sample was passed through the Knelson concentrator, collecting a concentrate and tailing sample. The Knelson concentrate and tailing samples were filtered and submitted for size-fraction analysis for Au.  The remainder of the tail was decanted to ~65% solids, and ground in Rod Mill for 26.3 minutes.  For stage 2, the gravity separation, sampling, and size-fractional assaying procedure was repeated.  Stage 2 Knelson tail was split into two equal parts and each part ground at ~65% solids in the Rod Mill for 67.7 minutes.  Stage 3 gravity separation was performed as per the above stages repeating the gravity separation, sampling, and size-fractional assaying procedure.</t>
  </si>
  <si>
    <t>26.3 min @ 65% solids in Rod Mill</t>
  </si>
  <si>
    <t>67.7 min @ 65% solids in Rod Mill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</si>
</sst>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&quot;LR-&quot;0"/>
    <numFmt numFmtId="179" formatCode="&quot;K&quot;0&quot; =&quot;"/>
    <numFmt numFmtId="180" formatCode="0&quot; µm&quot;"/>
    <numFmt numFmtId="181" formatCode="#,##0.0&quot; µm&quot;"/>
    <numFmt numFmtId="182" formatCode="&quot;K&quot;0"/>
    <numFmt numFmtId="183" formatCode="0\ &quot;µm&quot;"/>
    <numFmt numFmtId="184" formatCode="#,##0.0"/>
    <numFmt numFmtId="185" formatCode="#.000"/>
    <numFmt numFmtId="186" formatCode="0.00\ \C\º"/>
    <numFmt numFmtId="187" formatCode="&quot;K&quot;0\ \ \ \="/>
    <numFmt numFmtId="188" formatCode="0.00000000"/>
    <numFmt numFmtId="189" formatCode="_(* #,##0.0_);_(* \(#,##0.0\);_(* &quot;-&quot;??_);_(@_)"/>
    <numFmt numFmtId="190" formatCode="_(* #,##0_);_(* \(#,##0\);_(* &quot;-&quot;??_);_(@_)"/>
    <numFmt numFmtId="191" formatCode="&quot;GRG Number =&quot;0.0"/>
    <numFmt numFmtId="192" formatCode="_(* #,##0.0_);_(* \(#,##0.0\);_(* &quot;-&quot;?_);_(@_)"/>
    <numFmt numFmtId="193" formatCode="&quot;GRG Number =&quot;0"/>
    <numFmt numFmtId="194" formatCode="_-* #,##0.0_-;\-* #,##0.0_-;_-* &quot;-&quot;?_-;_-@_-"/>
  </numFmts>
  <fonts count="50">
    <font>
      <sz val="10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25"/>
      <color indexed="8"/>
      <name val="Arial"/>
      <family val="2"/>
    </font>
    <font>
      <vertAlign val="superscript"/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2" fillId="0" borderId="0" xfId="59" applyFont="1" applyAlignment="1" applyProtection="1">
      <alignment horizontal="left"/>
      <protection locked="0"/>
    </xf>
    <xf numFmtId="0" fontId="0" fillId="0" borderId="0" xfId="59" applyFont="1" applyProtection="1">
      <alignment/>
      <protection locked="0"/>
    </xf>
    <xf numFmtId="0" fontId="0" fillId="0" borderId="0" xfId="60" applyFont="1" applyProtection="1">
      <alignment/>
      <protection locked="0"/>
    </xf>
    <xf numFmtId="0" fontId="0" fillId="0" borderId="0" xfId="60" applyFont="1">
      <alignment/>
      <protection/>
    </xf>
    <xf numFmtId="0" fontId="2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"/>
      <protection/>
    </xf>
    <xf numFmtId="0" fontId="0" fillId="0" borderId="10" xfId="60" applyFont="1" applyBorder="1" applyAlignment="1">
      <alignment horizontal="centerContinuous"/>
      <protection/>
    </xf>
    <xf numFmtId="0" fontId="0" fillId="0" borderId="11" xfId="60" applyFont="1" applyBorder="1" applyAlignment="1">
      <alignment horizontal="centerContinuous"/>
      <protection/>
    </xf>
    <xf numFmtId="0" fontId="0" fillId="0" borderId="10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33" borderId="13" xfId="60" applyFont="1" applyFill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0" fillId="34" borderId="16" xfId="60" applyFont="1" applyFill="1" applyBorder="1" applyAlignment="1" applyProtection="1">
      <alignment horizontal="center"/>
      <protection locked="0"/>
    </xf>
    <xf numFmtId="0" fontId="0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 horizontal="center"/>
      <protection/>
    </xf>
    <xf numFmtId="3" fontId="0" fillId="0" borderId="17" xfId="60" applyNumberFormat="1" applyFont="1" applyBorder="1" applyAlignment="1">
      <alignment horizontal="center"/>
      <protection/>
    </xf>
    <xf numFmtId="176" fontId="0" fillId="0" borderId="17" xfId="60" applyNumberFormat="1" applyFont="1" applyBorder="1" applyAlignment="1">
      <alignment horizontal="center"/>
      <protection/>
    </xf>
    <xf numFmtId="176" fontId="0" fillId="0" borderId="18" xfId="60" applyNumberFormat="1" applyFont="1" applyBorder="1" applyAlignment="1">
      <alignment horizontal="center"/>
      <protection/>
    </xf>
    <xf numFmtId="175" fontId="0" fillId="0" borderId="0" xfId="60" applyNumberFormat="1" applyFont="1">
      <alignment/>
      <protection/>
    </xf>
    <xf numFmtId="0" fontId="2" fillId="0" borderId="17" xfId="60" applyFont="1" applyBorder="1" applyAlignment="1">
      <alignment horizontal="center"/>
      <protection/>
    </xf>
    <xf numFmtId="176" fontId="2" fillId="0" borderId="17" xfId="60" applyNumberFormat="1" applyFont="1" applyBorder="1" applyAlignment="1" applyProtection="1">
      <alignment horizontal="center"/>
      <protection locked="0"/>
    </xf>
    <xf numFmtId="0" fontId="2" fillId="0" borderId="18" xfId="60" applyFont="1" applyBorder="1" applyAlignment="1">
      <alignment horizontal="center"/>
      <protection/>
    </xf>
    <xf numFmtId="1" fontId="2" fillId="0" borderId="14" xfId="60" applyNumberFormat="1" applyFont="1" applyBorder="1" applyAlignment="1" applyProtection="1">
      <alignment horizontal="center"/>
      <protection/>
    </xf>
    <xf numFmtId="3" fontId="2" fillId="0" borderId="14" xfId="60" applyNumberFormat="1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176" fontId="2" fillId="0" borderId="14" xfId="60" applyNumberFormat="1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1" fontId="2" fillId="0" borderId="0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176" fontId="2" fillId="0" borderId="0" xfId="60" applyNumberFormat="1" applyFont="1" applyBorder="1" applyAlignment="1">
      <alignment horizontal="center"/>
      <protection/>
    </xf>
    <xf numFmtId="0" fontId="3" fillId="0" borderId="0" xfId="60" applyFont="1" applyAlignment="1">
      <alignment horizontal="centerContinuous"/>
      <protection/>
    </xf>
    <xf numFmtId="175" fontId="1" fillId="0" borderId="0" xfId="60" applyNumberFormat="1" applyAlignment="1">
      <alignment horizontal="centerContinuous"/>
      <protection/>
    </xf>
    <xf numFmtId="0" fontId="1" fillId="0" borderId="0" xfId="60" applyAlignment="1">
      <alignment horizontal="center"/>
      <protection/>
    </xf>
    <xf numFmtId="1" fontId="1" fillId="0" borderId="0" xfId="60" applyNumberFormat="1" applyAlignment="1">
      <alignment horizontal="center"/>
      <protection/>
    </xf>
    <xf numFmtId="0" fontId="1" fillId="0" borderId="0" xfId="60">
      <alignment/>
      <protection/>
    </xf>
    <xf numFmtId="0" fontId="1" fillId="0" borderId="0" xfId="60" applyAlignment="1">
      <alignment horizontal="left"/>
      <protection/>
    </xf>
    <xf numFmtId="182" fontId="0" fillId="0" borderId="0" xfId="60" applyNumberFormat="1" applyFont="1" applyAlignment="1" applyProtection="1">
      <alignment horizontal="center"/>
      <protection/>
    </xf>
    <xf numFmtId="0" fontId="0" fillId="0" borderId="0" xfId="60" applyFont="1" applyAlignment="1" applyProtection="1">
      <alignment horizontal="center"/>
      <protection/>
    </xf>
    <xf numFmtId="2" fontId="0" fillId="0" borderId="0" xfId="60" applyNumberFormat="1" applyFont="1" applyAlignment="1" applyProtection="1">
      <alignment horizontal="center"/>
      <protection/>
    </xf>
    <xf numFmtId="176" fontId="0" fillId="0" borderId="0" xfId="60" applyNumberFormat="1" applyFont="1" applyAlignment="1" applyProtection="1">
      <alignment horizontal="center"/>
      <protection/>
    </xf>
    <xf numFmtId="0" fontId="0" fillId="0" borderId="0" xfId="60" applyFont="1" applyBorder="1" applyAlignment="1">
      <alignment horizontal="center"/>
      <protection/>
    </xf>
    <xf numFmtId="3" fontId="0" fillId="0" borderId="17" xfId="60" applyNumberFormat="1" applyFont="1" applyBorder="1" applyAlignment="1" applyProtection="1">
      <alignment horizontal="center"/>
      <protection/>
    </xf>
    <xf numFmtId="38" fontId="2" fillId="0" borderId="0" xfId="44" applyNumberFormat="1" applyFont="1" applyBorder="1" applyAlignment="1" applyProtection="1">
      <alignment horizontal="center"/>
      <protection/>
    </xf>
    <xf numFmtId="0" fontId="0" fillId="0" borderId="0" xfId="61" applyFont="1" applyProtection="1">
      <alignment/>
      <protection locked="0"/>
    </xf>
    <xf numFmtId="0" fontId="0" fillId="0" borderId="0" xfId="61" applyFont="1">
      <alignment/>
      <protection/>
    </xf>
    <xf numFmtId="0" fontId="2" fillId="0" borderId="0" xfId="61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0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33" borderId="13" xfId="61" applyFont="1" applyFill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34" borderId="16" xfId="61" applyFont="1" applyFill="1" applyBorder="1" applyAlignment="1" applyProtection="1">
      <alignment horizontal="center"/>
      <protection locked="0"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3" fontId="0" fillId="0" borderId="17" xfId="61" applyNumberFormat="1" applyFont="1" applyBorder="1" applyAlignment="1">
      <alignment horizontal="center"/>
      <protection/>
    </xf>
    <xf numFmtId="176" fontId="0" fillId="0" borderId="17" xfId="61" applyNumberFormat="1" applyFont="1" applyBorder="1" applyAlignment="1">
      <alignment horizontal="center"/>
      <protection/>
    </xf>
    <xf numFmtId="176" fontId="0" fillId="0" borderId="18" xfId="61" applyNumberFormat="1" applyFont="1" applyBorder="1" applyAlignment="1">
      <alignment horizontal="center"/>
      <protection/>
    </xf>
    <xf numFmtId="175" fontId="0" fillId="0" borderId="0" xfId="61" applyNumberFormat="1" applyFont="1">
      <alignment/>
      <protection/>
    </xf>
    <xf numFmtId="0" fontId="2" fillId="0" borderId="17" xfId="61" applyFont="1" applyBorder="1" applyAlignment="1">
      <alignment horizontal="center"/>
      <protection/>
    </xf>
    <xf numFmtId="176" fontId="2" fillId="0" borderId="17" xfId="61" applyNumberFormat="1" applyFont="1" applyBorder="1" applyAlignment="1" applyProtection="1">
      <alignment horizontal="center"/>
      <protection locked="0"/>
    </xf>
    <xf numFmtId="0" fontId="2" fillId="0" borderId="18" xfId="61" applyFont="1" applyBorder="1" applyAlignment="1">
      <alignment horizontal="center"/>
      <protection/>
    </xf>
    <xf numFmtId="1" fontId="2" fillId="0" borderId="14" xfId="61" applyNumberFormat="1" applyFont="1" applyBorder="1" applyAlignment="1" applyProtection="1">
      <alignment horizontal="center"/>
      <protection/>
    </xf>
    <xf numFmtId="3" fontId="2" fillId="0" borderId="14" xfId="61" applyNumberFormat="1" applyFont="1" applyBorder="1" applyAlignment="1">
      <alignment horizontal="center"/>
      <protection/>
    </xf>
    <xf numFmtId="0" fontId="2" fillId="0" borderId="14" xfId="61" applyFont="1" applyBorder="1" applyAlignment="1">
      <alignment horizontal="center"/>
      <protection/>
    </xf>
    <xf numFmtId="176" fontId="2" fillId="0" borderId="14" xfId="61" applyNumberFormat="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1" fontId="2" fillId="0" borderId="0" xfId="61" applyNumberFormat="1" applyFont="1" applyBorder="1" applyAlignment="1" applyProtection="1">
      <alignment horizontal="center"/>
      <protection/>
    </xf>
    <xf numFmtId="3" fontId="2" fillId="0" borderId="0" xfId="61" applyNumberFormat="1" applyFont="1" applyBorder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176" fontId="2" fillId="0" borderId="0" xfId="61" applyNumberFormat="1" applyFont="1" applyBorder="1" applyAlignment="1">
      <alignment horizontal="center"/>
      <protection/>
    </xf>
    <xf numFmtId="0" fontId="3" fillId="0" borderId="0" xfId="61" applyFont="1" applyAlignment="1">
      <alignment horizontal="centerContinuous"/>
      <protection/>
    </xf>
    <xf numFmtId="175" fontId="1" fillId="0" borderId="0" xfId="61" applyNumberFormat="1" applyAlignment="1">
      <alignment horizontal="centerContinuous"/>
      <protection/>
    </xf>
    <xf numFmtId="0" fontId="1" fillId="0" borderId="0" xfId="61" applyAlignment="1">
      <alignment horizontal="center"/>
      <protection/>
    </xf>
    <xf numFmtId="1" fontId="1" fillId="0" borderId="0" xfId="61" applyNumberFormat="1" applyAlignment="1">
      <alignment horizontal="center"/>
      <protection/>
    </xf>
    <xf numFmtId="0" fontId="1" fillId="0" borderId="0" xfId="61">
      <alignment/>
      <protection/>
    </xf>
    <xf numFmtId="0" fontId="1" fillId="0" borderId="0" xfId="61" applyAlignment="1">
      <alignment horizontal="left"/>
      <protection/>
    </xf>
    <xf numFmtId="182" fontId="0" fillId="0" borderId="0" xfId="61" applyNumberFormat="1" applyFont="1" applyAlignment="1" applyProtection="1">
      <alignment horizontal="center"/>
      <protection/>
    </xf>
    <xf numFmtId="0" fontId="0" fillId="0" borderId="0" xfId="61" applyFont="1" applyAlignment="1" applyProtection="1">
      <alignment horizontal="center"/>
      <protection/>
    </xf>
    <xf numFmtId="2" fontId="0" fillId="0" borderId="0" xfId="61" applyNumberFormat="1" applyFont="1" applyAlignment="1" applyProtection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0" fontId="0" fillId="0" borderId="0" xfId="61" applyFont="1" applyBorder="1" applyAlignment="1">
      <alignment horizontal="center"/>
      <protection/>
    </xf>
    <xf numFmtId="3" fontId="0" fillId="0" borderId="17" xfId="61" applyNumberFormat="1" applyFont="1" applyBorder="1" applyAlignment="1" applyProtection="1">
      <alignment horizontal="center"/>
      <protection/>
    </xf>
    <xf numFmtId="38" fontId="2" fillId="0" borderId="0" xfId="45" applyNumberFormat="1" applyFont="1" applyBorder="1" applyAlignment="1" applyProtection="1">
      <alignment horizontal="center"/>
      <protection/>
    </xf>
    <xf numFmtId="0" fontId="0" fillId="0" borderId="0" xfId="62" applyFont="1" applyProtection="1">
      <alignment/>
      <protection locked="0"/>
    </xf>
    <xf numFmtId="0" fontId="0" fillId="0" borderId="0" xfId="62" applyFont="1">
      <alignment/>
      <protection/>
    </xf>
    <xf numFmtId="0" fontId="2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"/>
      <protection/>
    </xf>
    <xf numFmtId="0" fontId="0" fillId="0" borderId="10" xfId="62" applyFont="1" applyBorder="1" applyAlignment="1">
      <alignment horizontal="centerContinuous"/>
      <protection/>
    </xf>
    <xf numFmtId="0" fontId="0" fillId="0" borderId="11" xfId="62" applyFont="1" applyBorder="1" applyAlignment="1">
      <alignment horizontal="centerContinuous"/>
      <protection/>
    </xf>
    <xf numFmtId="0" fontId="0" fillId="0" borderId="10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33" borderId="13" xfId="62" applyFont="1" applyFill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15" xfId="62" applyFont="1" applyBorder="1" applyAlignment="1">
      <alignment horizontal="center"/>
      <protection/>
    </xf>
    <xf numFmtId="0" fontId="0" fillId="34" borderId="16" xfId="62" applyFont="1" applyFill="1" applyBorder="1" applyAlignment="1" applyProtection="1">
      <alignment horizontal="center"/>
      <protection locked="0"/>
    </xf>
    <xf numFmtId="0" fontId="0" fillId="0" borderId="17" xfId="62" applyFont="1" applyBorder="1" applyAlignment="1">
      <alignment horizontal="center"/>
      <protection/>
    </xf>
    <xf numFmtId="0" fontId="0" fillId="0" borderId="18" xfId="62" applyFont="1" applyBorder="1" applyAlignment="1">
      <alignment horizontal="center"/>
      <protection/>
    </xf>
    <xf numFmtId="3" fontId="0" fillId="0" borderId="17" xfId="62" applyNumberFormat="1" applyFont="1" applyBorder="1" applyAlignment="1">
      <alignment horizontal="center"/>
      <protection/>
    </xf>
    <xf numFmtId="176" fontId="0" fillId="0" borderId="17" xfId="62" applyNumberFormat="1" applyFont="1" applyBorder="1" applyAlignment="1">
      <alignment horizontal="center"/>
      <protection/>
    </xf>
    <xf numFmtId="176" fontId="0" fillId="0" borderId="18" xfId="62" applyNumberFormat="1" applyFont="1" applyBorder="1" applyAlignment="1">
      <alignment horizontal="center"/>
      <protection/>
    </xf>
    <xf numFmtId="175" fontId="0" fillId="0" borderId="0" xfId="62" applyNumberFormat="1" applyFont="1">
      <alignment/>
      <protection/>
    </xf>
    <xf numFmtId="0" fontId="2" fillId="0" borderId="17" xfId="62" applyFont="1" applyBorder="1" applyAlignment="1">
      <alignment horizontal="center"/>
      <protection/>
    </xf>
    <xf numFmtId="176" fontId="2" fillId="0" borderId="17" xfId="62" applyNumberFormat="1" applyFont="1" applyBorder="1" applyAlignment="1" applyProtection="1">
      <alignment horizontal="center"/>
      <protection locked="0"/>
    </xf>
    <xf numFmtId="0" fontId="2" fillId="0" borderId="18" xfId="62" applyFont="1" applyBorder="1" applyAlignment="1">
      <alignment horizontal="center"/>
      <protection/>
    </xf>
    <xf numFmtId="1" fontId="2" fillId="0" borderId="14" xfId="62" applyNumberFormat="1" applyFont="1" applyBorder="1" applyAlignment="1" applyProtection="1">
      <alignment horizontal="center"/>
      <protection/>
    </xf>
    <xf numFmtId="3" fontId="2" fillId="0" borderId="14" xfId="62" applyNumberFormat="1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176" fontId="2" fillId="0" borderId="14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1" fontId="2" fillId="0" borderId="0" xfId="62" applyNumberFormat="1" applyFont="1" applyBorder="1" applyAlignment="1" applyProtection="1">
      <alignment horizontal="center"/>
      <protection/>
    </xf>
    <xf numFmtId="3" fontId="2" fillId="0" borderId="0" xfId="62" applyNumberFormat="1" applyFont="1" applyBorder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176" fontId="2" fillId="0" borderId="0" xfId="62" applyNumberFormat="1" applyFont="1" applyBorder="1" applyAlignment="1">
      <alignment horizontal="center"/>
      <protection/>
    </xf>
    <xf numFmtId="0" fontId="3" fillId="0" borderId="0" xfId="62" applyFont="1" applyAlignment="1">
      <alignment horizontal="centerContinuous"/>
      <protection/>
    </xf>
    <xf numFmtId="175" fontId="1" fillId="0" borderId="0" xfId="62" applyNumberFormat="1" applyAlignment="1">
      <alignment horizontal="centerContinuous"/>
      <protection/>
    </xf>
    <xf numFmtId="0" fontId="1" fillId="0" borderId="0" xfId="62" applyAlignment="1">
      <alignment horizontal="center"/>
      <protection/>
    </xf>
    <xf numFmtId="1" fontId="1" fillId="0" borderId="0" xfId="62" applyNumberFormat="1" applyAlignment="1">
      <alignment horizontal="center"/>
      <protection/>
    </xf>
    <xf numFmtId="0" fontId="1" fillId="0" borderId="0" xfId="62">
      <alignment/>
      <protection/>
    </xf>
    <xf numFmtId="0" fontId="1" fillId="0" borderId="0" xfId="62" applyAlignment="1">
      <alignment horizontal="left"/>
      <protection/>
    </xf>
    <xf numFmtId="182" fontId="0" fillId="0" borderId="0" xfId="62" applyNumberFormat="1" applyFont="1" applyAlignment="1" applyProtection="1">
      <alignment horizontal="center"/>
      <protection/>
    </xf>
    <xf numFmtId="0" fontId="0" fillId="0" borderId="0" xfId="62" applyFont="1" applyAlignment="1" applyProtection="1">
      <alignment horizontal="center"/>
      <protection/>
    </xf>
    <xf numFmtId="2" fontId="0" fillId="0" borderId="0" xfId="62" applyNumberFormat="1" applyFont="1" applyAlignment="1" applyProtection="1">
      <alignment horizontal="center"/>
      <protection/>
    </xf>
    <xf numFmtId="176" fontId="0" fillId="0" borderId="0" xfId="62" applyNumberFormat="1" applyFont="1" applyAlignment="1" applyProtection="1">
      <alignment horizontal="center"/>
      <protection/>
    </xf>
    <xf numFmtId="0" fontId="0" fillId="0" borderId="0" xfId="62" applyFont="1" applyBorder="1" applyAlignment="1">
      <alignment horizontal="center"/>
      <protection/>
    </xf>
    <xf numFmtId="3" fontId="0" fillId="0" borderId="17" xfId="62" applyNumberFormat="1" applyFont="1" applyBorder="1" applyAlignment="1" applyProtection="1">
      <alignment horizontal="center"/>
      <protection/>
    </xf>
    <xf numFmtId="38" fontId="2" fillId="0" borderId="0" xfId="46" applyNumberFormat="1" applyFont="1" applyBorder="1" applyAlignment="1" applyProtection="1">
      <alignment horizontal="center"/>
      <protection/>
    </xf>
    <xf numFmtId="0" fontId="0" fillId="0" borderId="0" xfId="63" applyFont="1" applyProtection="1">
      <alignment/>
      <protection locked="0"/>
    </xf>
    <xf numFmtId="0" fontId="0" fillId="0" borderId="0" xfId="63" applyFont="1">
      <alignment/>
      <protection/>
    </xf>
    <xf numFmtId="0" fontId="2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"/>
      <protection/>
    </xf>
    <xf numFmtId="0" fontId="0" fillId="0" borderId="10" xfId="63" applyFont="1" applyBorder="1" applyAlignment="1">
      <alignment horizontal="centerContinuous"/>
      <protection/>
    </xf>
    <xf numFmtId="0" fontId="0" fillId="0" borderId="11" xfId="63" applyFont="1" applyBorder="1" applyAlignment="1">
      <alignment horizontal="centerContinuous"/>
      <protection/>
    </xf>
    <xf numFmtId="0" fontId="0" fillId="0" borderId="10" xfId="63" applyFont="1" applyBorder="1" applyAlignment="1">
      <alignment horizontal="center"/>
      <protection/>
    </xf>
    <xf numFmtId="0" fontId="0" fillId="0" borderId="12" xfId="63" applyFont="1" applyBorder="1" applyAlignment="1">
      <alignment horizontal="center"/>
      <protection/>
    </xf>
    <xf numFmtId="0" fontId="0" fillId="33" borderId="13" xfId="63" applyFont="1" applyFill="1" applyBorder="1" applyAlignment="1">
      <alignment horizontal="center"/>
      <protection/>
    </xf>
    <xf numFmtId="0" fontId="0" fillId="0" borderId="14" xfId="63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34" borderId="16" xfId="63" applyFont="1" applyFill="1" applyBorder="1" applyAlignment="1" applyProtection="1">
      <alignment horizontal="center"/>
      <protection locked="0"/>
    </xf>
    <xf numFmtId="0" fontId="0" fillId="0" borderId="17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3" fontId="0" fillId="0" borderId="17" xfId="63" applyNumberFormat="1" applyFont="1" applyBorder="1" applyAlignment="1">
      <alignment horizontal="center"/>
      <protection/>
    </xf>
    <xf numFmtId="176" fontId="0" fillId="0" borderId="17" xfId="63" applyNumberFormat="1" applyFont="1" applyBorder="1" applyAlignment="1">
      <alignment horizontal="center"/>
      <protection/>
    </xf>
    <xf numFmtId="176" fontId="0" fillId="0" borderId="18" xfId="63" applyNumberFormat="1" applyFont="1" applyBorder="1" applyAlignment="1">
      <alignment horizontal="center"/>
      <protection/>
    </xf>
    <xf numFmtId="175" fontId="0" fillId="0" borderId="0" xfId="63" applyNumberFormat="1" applyFont="1">
      <alignment/>
      <protection/>
    </xf>
    <xf numFmtId="0" fontId="2" fillId="0" borderId="17" xfId="63" applyFont="1" applyBorder="1" applyAlignment="1">
      <alignment horizontal="center"/>
      <protection/>
    </xf>
    <xf numFmtId="176" fontId="2" fillId="0" borderId="17" xfId="63" applyNumberFormat="1" applyFont="1" applyBorder="1" applyAlignment="1" applyProtection="1">
      <alignment horizontal="center"/>
      <protection locked="0"/>
    </xf>
    <xf numFmtId="0" fontId="2" fillId="0" borderId="18" xfId="63" applyFont="1" applyBorder="1" applyAlignment="1">
      <alignment horizontal="center"/>
      <protection/>
    </xf>
    <xf numFmtId="1" fontId="2" fillId="0" borderId="14" xfId="63" applyNumberFormat="1" applyFont="1" applyBorder="1" applyAlignment="1" applyProtection="1">
      <alignment horizontal="center"/>
      <protection/>
    </xf>
    <xf numFmtId="3" fontId="2" fillId="0" borderId="14" xfId="63" applyNumberFormat="1" applyFont="1" applyBorder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176" fontId="2" fillId="0" borderId="14" xfId="63" applyNumberFormat="1" applyFont="1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1" fontId="2" fillId="0" borderId="0" xfId="63" applyNumberFormat="1" applyFont="1" applyBorder="1" applyAlignment="1" applyProtection="1">
      <alignment horizontal="center"/>
      <protection/>
    </xf>
    <xf numFmtId="3" fontId="2" fillId="0" borderId="0" xfId="63" applyNumberFormat="1" applyFont="1" applyBorder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176" fontId="2" fillId="0" borderId="0" xfId="63" applyNumberFormat="1" applyFont="1" applyBorder="1" applyAlignment="1">
      <alignment horizontal="center"/>
      <protection/>
    </xf>
    <xf numFmtId="0" fontId="3" fillId="0" borderId="0" xfId="63" applyFont="1" applyAlignment="1">
      <alignment horizontal="centerContinuous"/>
      <protection/>
    </xf>
    <xf numFmtId="175" fontId="1" fillId="0" borderId="0" xfId="63" applyNumberFormat="1" applyAlignment="1">
      <alignment horizontal="centerContinuous"/>
      <protection/>
    </xf>
    <xf numFmtId="0" fontId="1" fillId="0" borderId="0" xfId="63" applyAlignment="1">
      <alignment horizontal="center"/>
      <protection/>
    </xf>
    <xf numFmtId="1" fontId="1" fillId="0" borderId="0" xfId="63" applyNumberFormat="1" applyAlignment="1">
      <alignment horizontal="center"/>
      <protection/>
    </xf>
    <xf numFmtId="0" fontId="1" fillId="0" borderId="0" xfId="63">
      <alignment/>
      <protection/>
    </xf>
    <xf numFmtId="0" fontId="1" fillId="0" borderId="0" xfId="63" applyAlignment="1">
      <alignment horizontal="left"/>
      <protection/>
    </xf>
    <xf numFmtId="182" fontId="0" fillId="0" borderId="0" xfId="63" applyNumberFormat="1" applyFont="1" applyAlignment="1" applyProtection="1">
      <alignment horizontal="center"/>
      <protection/>
    </xf>
    <xf numFmtId="0" fontId="0" fillId="0" borderId="0" xfId="63" applyFont="1" applyAlignment="1" applyProtection="1">
      <alignment horizontal="center"/>
      <protection/>
    </xf>
    <xf numFmtId="2" fontId="0" fillId="0" borderId="0" xfId="63" applyNumberFormat="1" applyFont="1" applyAlignment="1" applyProtection="1">
      <alignment horizontal="center"/>
      <protection/>
    </xf>
    <xf numFmtId="176" fontId="0" fillId="0" borderId="0" xfId="63" applyNumberFormat="1" applyFont="1" applyAlignment="1" applyProtection="1">
      <alignment horizontal="center"/>
      <protection/>
    </xf>
    <xf numFmtId="0" fontId="0" fillId="0" borderId="0" xfId="63" applyFont="1" applyBorder="1" applyAlignment="1">
      <alignment horizontal="center"/>
      <protection/>
    </xf>
    <xf numFmtId="3" fontId="0" fillId="0" borderId="17" xfId="63" applyNumberFormat="1" applyFont="1" applyBorder="1" applyAlignment="1" applyProtection="1">
      <alignment horizontal="center"/>
      <protection/>
    </xf>
    <xf numFmtId="38" fontId="2" fillId="0" borderId="0" xfId="47" applyNumberFormat="1" applyFont="1" applyBorder="1" applyAlignment="1" applyProtection="1">
      <alignment horizontal="center"/>
      <protection/>
    </xf>
    <xf numFmtId="0" fontId="0" fillId="35" borderId="19" xfId="0" applyFill="1" applyBorder="1" applyAlignment="1">
      <alignment/>
    </xf>
    <xf numFmtId="2" fontId="0" fillId="0" borderId="17" xfId="60" applyNumberFormat="1" applyFont="1" applyBorder="1" applyAlignment="1">
      <alignment horizontal="center"/>
      <protection/>
    </xf>
    <xf numFmtId="2" fontId="0" fillId="0" borderId="0" xfId="63" applyNumberFormat="1" applyFont="1" applyAlignment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76" fontId="0" fillId="0" borderId="17" xfId="0" applyNumberFormat="1" applyFont="1" applyBorder="1" applyAlignment="1" applyProtection="1">
      <alignment horizontal="center"/>
      <protection locked="0"/>
    </xf>
    <xf numFmtId="176" fontId="0" fillId="0" borderId="17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1" fontId="2" fillId="0" borderId="14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175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17" xfId="0" applyNumberFormat="1" applyFont="1" applyBorder="1" applyAlignment="1" applyProtection="1">
      <alignment horizontal="center"/>
      <protection/>
    </xf>
    <xf numFmtId="38" fontId="2" fillId="0" borderId="0" xfId="42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15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Alignment="1">
      <alignment horizontal="right" indent="1"/>
    </xf>
    <xf numFmtId="180" fontId="0" fillId="0" borderId="0" xfId="0" applyNumberFormat="1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2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180" fontId="7" fillId="0" borderId="23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left" vertical="center" indent="1"/>
    </xf>
    <xf numFmtId="0" fontId="0" fillId="0" borderId="25" xfId="0" applyFont="1" applyBorder="1" applyAlignment="1">
      <alignment vertical="center"/>
    </xf>
    <xf numFmtId="189" fontId="0" fillId="0" borderId="23" xfId="42" applyNumberFormat="1" applyFont="1" applyFill="1" applyBorder="1" applyAlignment="1">
      <alignment horizontal="right" vertical="center"/>
    </xf>
    <xf numFmtId="189" fontId="0" fillId="0" borderId="26" xfId="42" applyNumberFormat="1" applyFont="1" applyFill="1" applyBorder="1" applyAlignment="1">
      <alignment horizontal="right" vertical="center"/>
    </xf>
    <xf numFmtId="190" fontId="0" fillId="0" borderId="26" xfId="42" applyNumberFormat="1" applyFont="1" applyBorder="1" applyAlignment="1">
      <alignment horizontal="right" vertical="center"/>
    </xf>
    <xf numFmtId="189" fontId="2" fillId="0" borderId="27" xfId="42" applyNumberFormat="1" applyFont="1" applyBorder="1" applyAlignment="1">
      <alignment horizontal="right" vertical="center"/>
    </xf>
    <xf numFmtId="171" fontId="0" fillId="0" borderId="0" xfId="0" applyNumberFormat="1" applyFont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180" fontId="7" fillId="0" borderId="0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left" vertical="center" indent="1"/>
    </xf>
    <xf numFmtId="0" fontId="0" fillId="0" borderId="35" xfId="0" applyFont="1" applyBorder="1" applyAlignment="1">
      <alignment vertical="center"/>
    </xf>
    <xf numFmtId="189" fontId="0" fillId="0" borderId="0" xfId="42" applyNumberFormat="1" applyFont="1" applyFill="1" applyBorder="1" applyAlignment="1">
      <alignment horizontal="right" vertical="center"/>
    </xf>
    <xf numFmtId="171" fontId="0" fillId="0" borderId="18" xfId="42" applyNumberFormat="1" applyFont="1" applyBorder="1" applyAlignment="1">
      <alignment horizontal="right" vertical="center"/>
    </xf>
    <xf numFmtId="171" fontId="0" fillId="0" borderId="18" xfId="42" applyNumberFormat="1" applyFont="1" applyFill="1" applyBorder="1" applyAlignment="1">
      <alignment horizontal="right" vertical="center"/>
    </xf>
    <xf numFmtId="190" fontId="0" fillId="0" borderId="18" xfId="42" applyNumberFormat="1" applyFont="1" applyBorder="1" applyAlignment="1">
      <alignment horizontal="right" vertical="center"/>
    </xf>
    <xf numFmtId="171" fontId="2" fillId="0" borderId="36" xfId="42" applyNumberFormat="1" applyFont="1" applyBorder="1" applyAlignment="1">
      <alignment horizontal="right" vertical="center"/>
    </xf>
    <xf numFmtId="189" fontId="0" fillId="0" borderId="18" xfId="42" applyNumberFormat="1" applyFont="1" applyFill="1" applyBorder="1" applyAlignment="1">
      <alignment horizontal="right" vertical="center"/>
    </xf>
    <xf numFmtId="189" fontId="2" fillId="0" borderId="36" xfId="42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189" fontId="0" fillId="0" borderId="18" xfId="42" applyNumberFormat="1" applyFont="1" applyBorder="1" applyAlignment="1">
      <alignment horizontal="right" vertical="center"/>
    </xf>
    <xf numFmtId="190" fontId="0" fillId="0" borderId="18" xfId="42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vertical="center"/>
    </xf>
    <xf numFmtId="189" fontId="0" fillId="0" borderId="29" xfId="42" applyNumberFormat="1" applyFont="1" applyBorder="1" applyAlignment="1">
      <alignment horizontal="right" vertical="center"/>
    </xf>
    <xf numFmtId="189" fontId="0" fillId="0" borderId="32" xfId="42" applyNumberFormat="1" applyFont="1" applyBorder="1" applyAlignment="1">
      <alignment horizontal="right" vertical="center"/>
    </xf>
    <xf numFmtId="190" fontId="0" fillId="0" borderId="32" xfId="42" applyNumberFormat="1" applyFont="1" applyBorder="1" applyAlignment="1">
      <alignment horizontal="right" vertical="center"/>
    </xf>
    <xf numFmtId="189" fontId="2" fillId="0" borderId="33" xfId="42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 applyProtection="1">
      <alignment horizontal="right" vertical="center" indent="1"/>
      <protection locked="0"/>
    </xf>
    <xf numFmtId="2" fontId="0" fillId="0" borderId="36" xfId="0" applyNumberFormat="1" applyFont="1" applyBorder="1" applyAlignment="1">
      <alignment horizontal="center" vertical="center"/>
    </xf>
    <xf numFmtId="184" fontId="5" fillId="0" borderId="34" xfId="0" applyNumberFormat="1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 applyProtection="1">
      <alignment horizontal="right" vertical="center" indent="1"/>
      <protection locked="0"/>
    </xf>
    <xf numFmtId="176" fontId="0" fillId="0" borderId="36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>
      <alignment horizontal="center" vertical="center"/>
    </xf>
    <xf numFmtId="176" fontId="8" fillId="0" borderId="42" xfId="0" applyNumberFormat="1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quotePrefix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vertical="center"/>
    </xf>
    <xf numFmtId="0" fontId="8" fillId="0" borderId="18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" fontId="0" fillId="0" borderId="45" xfId="0" applyNumberFormat="1" applyFont="1" applyBorder="1" applyAlignment="1">
      <alignment horizontal="center" vertical="center"/>
    </xf>
    <xf numFmtId="184" fontId="0" fillId="0" borderId="43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vertical="center"/>
    </xf>
    <xf numFmtId="2" fontId="5" fillId="0" borderId="3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right" vertical="center" indent="1"/>
      <protection locked="0"/>
    </xf>
    <xf numFmtId="176" fontId="0" fillId="0" borderId="34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36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 indent="1"/>
    </xf>
    <xf numFmtId="176" fontId="0" fillId="0" borderId="36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 indent="1"/>
    </xf>
    <xf numFmtId="176" fontId="0" fillId="0" borderId="43" xfId="0" applyNumberFormat="1" applyFont="1" applyFill="1" applyBorder="1" applyAlignment="1">
      <alignment horizontal="center" vertical="center"/>
    </xf>
    <xf numFmtId="2" fontId="2" fillId="0" borderId="46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right" vertical="center"/>
    </xf>
    <xf numFmtId="1" fontId="8" fillId="0" borderId="18" xfId="0" applyNumberFormat="1" applyFont="1" applyFill="1" applyBorder="1" applyAlignment="1" applyProtection="1">
      <alignment horizontal="right" vertical="center" indent="1"/>
      <protection locked="0"/>
    </xf>
    <xf numFmtId="1" fontId="0" fillId="0" borderId="34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 applyProtection="1">
      <alignment horizontal="right" vertical="center" indent="1"/>
      <protection locked="0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4" xfId="0" applyNumberFormat="1" applyFont="1" applyBorder="1" applyAlignment="1">
      <alignment horizontal="right" indent="1"/>
    </xf>
    <xf numFmtId="3" fontId="0" fillId="0" borderId="18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1" fontId="0" fillId="0" borderId="41" xfId="0" applyNumberFormat="1" applyFont="1" applyBorder="1" applyAlignment="1">
      <alignment horizontal="right" indent="1"/>
    </xf>
    <xf numFmtId="1" fontId="0" fillId="0" borderId="49" xfId="0" applyNumberFormat="1" applyFont="1" applyFill="1" applyBorder="1" applyAlignment="1">
      <alignment horizontal="right" indent="1"/>
    </xf>
    <xf numFmtId="1" fontId="0" fillId="0" borderId="36" xfId="0" applyNumberFormat="1" applyFont="1" applyFill="1" applyBorder="1" applyAlignment="1">
      <alignment horizontal="right" indent="1"/>
    </xf>
    <xf numFmtId="3" fontId="0" fillId="0" borderId="41" xfId="0" applyNumberFormat="1" applyFont="1" applyBorder="1" applyAlignment="1">
      <alignment horizontal="right" indent="1"/>
    </xf>
    <xf numFmtId="0" fontId="0" fillId="0" borderId="34" xfId="0" applyFont="1" applyBorder="1" applyAlignment="1" quotePrefix="1">
      <alignment horizontal="center"/>
    </xf>
    <xf numFmtId="0" fontId="0" fillId="0" borderId="34" xfId="0" applyFont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39" xfId="0" applyFont="1" applyBorder="1" applyAlignment="1">
      <alignment horizontal="right" indent="1"/>
    </xf>
    <xf numFmtId="1" fontId="0" fillId="0" borderId="48" xfId="0" applyNumberFormat="1" applyFont="1" applyBorder="1" applyAlignment="1">
      <alignment horizontal="right" indent="1"/>
    </xf>
    <xf numFmtId="1" fontId="0" fillId="0" borderId="36" xfId="0" applyNumberFormat="1" applyFont="1" applyBorder="1" applyAlignment="1">
      <alignment horizontal="right" inden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3" xfId="0" applyNumberFormat="1" applyFont="1" applyBorder="1" applyAlignment="1">
      <alignment horizontal="right" indent="1"/>
    </xf>
    <xf numFmtId="3" fontId="0" fillId="0" borderId="46" xfId="0" applyNumberFormat="1" applyFont="1" applyBorder="1" applyAlignment="1">
      <alignment horizontal="right" indent="1"/>
    </xf>
    <xf numFmtId="3" fontId="0" fillId="0" borderId="50" xfId="0" applyNumberFormat="1" applyFont="1" applyBorder="1" applyAlignment="1">
      <alignment horizontal="right" indent="1"/>
    </xf>
    <xf numFmtId="3" fontId="0" fillId="0" borderId="44" xfId="0" applyNumberFormat="1" applyFont="1" applyBorder="1" applyAlignment="1">
      <alignment horizontal="right" indent="1"/>
    </xf>
    <xf numFmtId="1" fontId="0" fillId="0" borderId="51" xfId="0" applyNumberFormat="1" applyFont="1" applyBorder="1" applyAlignment="1">
      <alignment horizontal="right" indent="1"/>
    </xf>
    <xf numFmtId="1" fontId="0" fillId="0" borderId="52" xfId="0" applyNumberFormat="1" applyFont="1" applyBorder="1" applyAlignment="1">
      <alignment horizontal="right" inden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54" xfId="0" applyNumberFormat="1" applyFont="1" applyBorder="1" applyAlignment="1">
      <alignment horizontal="right" indent="1"/>
    </xf>
    <xf numFmtId="1" fontId="0" fillId="0" borderId="54" xfId="0" applyNumberFormat="1" applyFont="1" applyBorder="1" applyAlignment="1">
      <alignment horizontal="right" indent="1"/>
    </xf>
    <xf numFmtId="1" fontId="0" fillId="0" borderId="55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3" xfId="0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 indent="1"/>
    </xf>
    <xf numFmtId="0" fontId="0" fillId="0" borderId="29" xfId="0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6" xfId="0" applyFont="1" applyBorder="1" applyAlignment="1">
      <alignment/>
    </xf>
    <xf numFmtId="2" fontId="0" fillId="0" borderId="34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6" fontId="2" fillId="0" borderId="34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36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6" fontId="0" fillId="0" borderId="38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0" fillId="0" borderId="28" xfId="0" applyNumberFormat="1" applyFont="1" applyBorder="1" applyAlignment="1">
      <alignment horizontal="center"/>
    </xf>
    <xf numFmtId="176" fontId="0" fillId="0" borderId="32" xfId="0" applyNumberFormat="1" applyFont="1" applyBorder="1" applyAlignment="1">
      <alignment horizontal="center"/>
    </xf>
    <xf numFmtId="176" fontId="2" fillId="0" borderId="30" xfId="0" applyNumberFormat="1" applyFont="1" applyBorder="1" applyAlignment="1">
      <alignment horizontal="center"/>
    </xf>
    <xf numFmtId="176" fontId="0" fillId="0" borderId="28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46" xfId="0" applyNumberFormat="1" applyFont="1" applyBorder="1" applyAlignment="1">
      <alignment horizontal="right" vertical="center" indent="1"/>
    </xf>
    <xf numFmtId="176" fontId="0" fillId="0" borderId="0" xfId="61" applyNumberFormat="1" applyFont="1" applyAlignment="1">
      <alignment horizontal="center"/>
      <protection/>
    </xf>
    <xf numFmtId="176" fontId="0" fillId="0" borderId="0" xfId="63" applyNumberFormat="1" applyFont="1" applyAlignment="1">
      <alignment horizontal="center"/>
      <protection/>
    </xf>
    <xf numFmtId="0" fontId="8" fillId="0" borderId="18" xfId="0" applyNumberFormat="1" applyFont="1" applyFill="1" applyBorder="1" applyAlignment="1" applyProtection="1">
      <alignment horizontal="right" vertical="center" indent="1"/>
      <protection locked="0"/>
    </xf>
    <xf numFmtId="176" fontId="0" fillId="0" borderId="34" xfId="0" applyNumberFormat="1" applyFont="1" applyBorder="1" applyAlignment="1">
      <alignment horizontal="center"/>
    </xf>
    <xf numFmtId="171" fontId="0" fillId="0" borderId="26" xfId="42" applyNumberFormat="1" applyFont="1" applyBorder="1" applyAlignment="1">
      <alignment horizontal="right" vertical="center"/>
    </xf>
    <xf numFmtId="189" fontId="2" fillId="0" borderId="26" xfId="42" applyNumberFormat="1" applyFont="1" applyBorder="1" applyAlignment="1">
      <alignment horizontal="right" vertical="center"/>
    </xf>
    <xf numFmtId="190" fontId="0" fillId="0" borderId="0" xfId="42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 applyProtection="1">
      <alignment horizontal="center" vertical="center"/>
      <protection locked="0"/>
    </xf>
    <xf numFmtId="176" fontId="2" fillId="0" borderId="5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right" vertical="center" indent="1"/>
    </xf>
    <xf numFmtId="2" fontId="2" fillId="0" borderId="46" xfId="0" applyNumberFormat="1" applyFont="1" applyFill="1" applyBorder="1" applyAlignment="1">
      <alignment horizontal="right" vertical="center" inden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90" fontId="0" fillId="0" borderId="0" xfId="42" applyNumberFormat="1" applyFont="1" applyBorder="1" applyAlignment="1">
      <alignment horizontal="right" vertical="center"/>
    </xf>
    <xf numFmtId="189" fontId="2" fillId="0" borderId="18" xfId="42" applyNumberFormat="1" applyFont="1" applyBorder="1" applyAlignment="1">
      <alignment horizontal="right" vertical="center"/>
    </xf>
    <xf numFmtId="190" fontId="2" fillId="0" borderId="36" xfId="42" applyNumberFormat="1" applyFont="1" applyBorder="1" applyAlignment="1">
      <alignment horizontal="right" vertical="center"/>
    </xf>
    <xf numFmtId="189" fontId="0" fillId="0" borderId="26" xfId="42" applyNumberFormat="1" applyFont="1" applyBorder="1" applyAlignment="1">
      <alignment horizontal="right" vertical="center"/>
    </xf>
    <xf numFmtId="171" fontId="0" fillId="0" borderId="32" xfId="42" applyNumberFormat="1" applyFont="1" applyBorder="1" applyAlignment="1">
      <alignment horizontal="right" vertical="center"/>
    </xf>
    <xf numFmtId="189" fontId="0" fillId="0" borderId="23" xfId="42" applyNumberFormat="1" applyFont="1" applyBorder="1" applyAlignment="1">
      <alignment horizontal="right" vertical="center"/>
    </xf>
    <xf numFmtId="184" fontId="5" fillId="0" borderId="34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0" fontId="8" fillId="33" borderId="57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2" fillId="0" borderId="23" xfId="0" applyFont="1" applyBorder="1" applyAlignment="1">
      <alignment horizontal="center" vertical="center"/>
    </xf>
    <xf numFmtId="191" fontId="2" fillId="0" borderId="53" xfId="0" applyNumberFormat="1" applyFont="1" applyFill="1" applyBorder="1" applyAlignment="1">
      <alignment horizontal="center" vertical="center"/>
    </xf>
    <xf numFmtId="191" fontId="2" fillId="0" borderId="5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G-1-Pass 2 Conc" xfId="44"/>
    <cellStyle name="Comma_GRG-1-Pass 2 Tail" xfId="45"/>
    <cellStyle name="Comma_GRG-1-Pass 3 Conc" xfId="46"/>
    <cellStyle name="Comma_GRG-1-Pass 3 Tail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1-2-400" xfId="59"/>
    <cellStyle name="Normal_GRG-1-Pass 2 Conc" xfId="60"/>
    <cellStyle name="Normal_GRG-1-Pass 2 Tail" xfId="61"/>
    <cellStyle name="Normal_GRG-1-Pass 3 Conc" xfId="62"/>
    <cellStyle name="Normal_GRG-1-Pass 3 Tai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0.9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'E-GRG-1'!$H$126</c:f>
              <c:strCache>
                <c:ptCount val="1"/>
                <c:pt idx="0">
                  <c:v>Stage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'E-GRG-1'!$C$127:$C$137</c:f>
              <c:numCache/>
            </c:numRef>
          </c:xVal>
          <c:yVal>
            <c:numRef>
              <c:f>'E-GRG-1'!$H$128:$H$138</c:f>
              <c:numCache/>
            </c:numRef>
          </c:yVal>
          <c:smooth val="1"/>
        </c:ser>
        <c:ser>
          <c:idx val="1"/>
          <c:order val="1"/>
          <c:tx>
            <c:strRef>
              <c:f>'E-GRG-1'!$I$126</c:f>
              <c:strCache>
                <c:ptCount val="1"/>
                <c:pt idx="0">
                  <c:v>Stage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'E-GRG-1'!$C$127:$C$137</c:f>
              <c:numCache/>
            </c:numRef>
          </c:xVal>
          <c:yVal>
            <c:numRef>
              <c:f>'E-GRG-1'!$I$128:$I$138</c:f>
              <c:numCache/>
            </c:numRef>
          </c:yVal>
          <c:smooth val="1"/>
        </c:ser>
        <c:ser>
          <c:idx val="2"/>
          <c:order val="2"/>
          <c:tx>
            <c:strRef>
              <c:f>'E-GRG-1'!$J$126</c:f>
              <c:strCache>
                <c:ptCount val="1"/>
                <c:pt idx="0">
                  <c:v>Stage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'E-GRG-1'!$C$127:$C$137</c:f>
              <c:numCache/>
            </c:numRef>
          </c:xVal>
          <c:yVal>
            <c:numRef>
              <c:f>'E-GRG-1'!$J$128:$J$138</c:f>
              <c:numCache/>
            </c:numRef>
          </c:yVal>
          <c:smooth val="1"/>
        </c:ser>
        <c:axId val="33766492"/>
        <c:axId val="35462973"/>
      </c:scatterChart>
      <c:valAx>
        <c:axId val="33766492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 Passing (µm)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 val="autoZero"/>
        <c:crossBetween val="midCat"/>
        <c:dispUnits/>
      </c:valAx>
      <c:valAx>
        <c:axId val="354629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Recovery (%)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0625"/>
          <c:w val="0.1695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2 Tail (B)'!$B$9:$B$18</c:f>
              <c:numCache/>
            </c:numRef>
          </c:xVal>
          <c:yVal>
            <c:numRef>
              <c:f>'Pass 2 Tail (B)'!$F$9:$F$18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2 Tail (B)'!$H$30:$H$31</c:f>
              <c:numCache/>
            </c:numRef>
          </c:xVal>
          <c:yVal>
            <c:numRef>
              <c:f>'Pass 2 Tail (B)'!$I$30:$I$31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2 Tail (B)'!$H$31:$H$32</c:f>
              <c:numCache/>
            </c:numRef>
          </c:xVal>
          <c:yVal>
            <c:numRef>
              <c:f>'Pass 2 Tail (B)'!$I$31:$I$32</c:f>
              <c:numCache/>
            </c:numRef>
          </c:yVal>
          <c:smooth val="0"/>
        </c:ser>
        <c:axId val="48343030"/>
        <c:axId val="32434087"/>
      </c:scatterChart>
      <c:valAx>
        <c:axId val="48343030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434087"/>
        <c:crossesAt val="0"/>
        <c:crossBetween val="midCat"/>
        <c:dispUnits/>
        <c:majorUnit val="10"/>
        <c:minorUnit val="10"/>
      </c:valAx>
      <c:valAx>
        <c:axId val="324340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343030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075"/>
          <c:w val="0.897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2 Grind (46.33min)'!$B$9:$B$18</c:f>
              <c:numCache/>
            </c:numRef>
          </c:xVal>
          <c:yVal>
            <c:numRef>
              <c:f>'Pass 2 Grind (46.33min)'!$F$9:$F$18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2 Grind (46.33min)'!$H$30:$H$31</c:f>
              <c:numCache/>
            </c:numRef>
          </c:xVal>
          <c:yVal>
            <c:numRef>
              <c:f>'Pass 2 Grind (46.33min)'!$I$30:$I$31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2 Grind (46.33min)'!$H$31:$H$32</c:f>
              <c:numCache/>
            </c:numRef>
          </c:xVal>
          <c:yVal>
            <c:numRef>
              <c:f>'Pass 2 Grind (46.33min)'!$I$31:$I$32</c:f>
              <c:numCache/>
            </c:numRef>
          </c:yVal>
          <c:smooth val="0"/>
        </c:ser>
        <c:axId val="23471328"/>
        <c:axId val="9915361"/>
      </c:scatterChart>
      <c:valAx>
        <c:axId val="23471328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915361"/>
        <c:crossesAt val="0"/>
        <c:crossBetween val="midCat"/>
        <c:dispUnits/>
        <c:majorUnit val="10"/>
        <c:minorUnit val="10"/>
      </c:valAx>
      <c:valAx>
        <c:axId val="99153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471328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3 Conc'!$B$9:$B$18</c:f>
              <c:numCache/>
            </c:numRef>
          </c:xVal>
          <c:yVal>
            <c:numRef>
              <c:f>'Pass 3 Conc'!$F$9:$F$18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3 Conc'!$H$30:$H$31</c:f>
              <c:numCache/>
            </c:numRef>
          </c:xVal>
          <c:yVal>
            <c:numRef>
              <c:f>'Pass 3 Conc'!$I$30:$I$31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3 Conc'!$H$31:$H$32</c:f>
              <c:numCache/>
            </c:numRef>
          </c:xVal>
          <c:yVal>
            <c:numRef>
              <c:f>'Pass 3 Conc'!$I$31:$I$32</c:f>
              <c:numCache/>
            </c:numRef>
          </c:yVal>
          <c:smooth val="0"/>
        </c:ser>
        <c:axId val="22129386"/>
        <c:axId val="64946747"/>
      </c:scatterChart>
      <c:valAx>
        <c:axId val="22129386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946747"/>
        <c:crossesAt val="0"/>
        <c:crossBetween val="midCat"/>
        <c:dispUnits/>
        <c:majorUnit val="10"/>
        <c:minorUnit val="10"/>
      </c:valAx>
      <c:valAx>
        <c:axId val="649467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129386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075"/>
          <c:w val="0.897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3 Tail (A)'!$B$9:$B$18</c:f>
              <c:numCache/>
            </c:numRef>
          </c:xVal>
          <c:yVal>
            <c:numRef>
              <c:f>'Pass 3 Tail (A)'!$F$9:$F$18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3 Tail (A)'!$H$30:$H$31</c:f>
              <c:numCache/>
            </c:numRef>
          </c:xVal>
          <c:yVal>
            <c:numRef>
              <c:f>'Pass 3 Tail (A)'!$I$30:$I$31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3 Tail (A)'!$H$31:$H$32</c:f>
              <c:numCache/>
            </c:numRef>
          </c:xVal>
          <c:yVal>
            <c:numRef>
              <c:f>'Pass 3 Tail (A)'!$I$31:$I$32</c:f>
              <c:numCache/>
            </c:numRef>
          </c:yVal>
          <c:smooth val="0"/>
        </c:ser>
        <c:axId val="47649812"/>
        <c:axId val="26195125"/>
      </c:scatterChart>
      <c:valAx>
        <c:axId val="47649812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195125"/>
        <c:crossesAt val="0"/>
        <c:crossBetween val="midCat"/>
        <c:dispUnits/>
        <c:majorUnit val="10"/>
        <c:minorUnit val="10"/>
      </c:valAx>
      <c:valAx>
        <c:axId val="261951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649812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075"/>
          <c:w val="0.897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3 Tail (B)'!$B$9:$B$18</c:f>
              <c:numCache/>
            </c:numRef>
          </c:xVal>
          <c:yVal>
            <c:numRef>
              <c:f>'Pass 3 Tail (B)'!$F$9:$F$18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3 Tail (B)'!$H$30:$H$31</c:f>
              <c:numCache/>
            </c:numRef>
          </c:xVal>
          <c:yVal>
            <c:numRef>
              <c:f>'Pass 3 Tail (B)'!$I$30:$I$31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3 Tail (B)'!$H$31:$H$32</c:f>
              <c:numCache/>
            </c:numRef>
          </c:xVal>
          <c:yVal>
            <c:numRef>
              <c:f>'Pass 3 Tail (B)'!$I$31:$I$32</c:f>
              <c:numCache/>
            </c:numRef>
          </c:yVal>
          <c:smooth val="0"/>
        </c:ser>
        <c:axId val="34429534"/>
        <c:axId val="41430351"/>
      </c:scatterChart>
      <c:valAx>
        <c:axId val="3442953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430351"/>
        <c:crossesAt val="0"/>
        <c:crossBetween val="midCat"/>
        <c:dispUnits/>
        <c:majorUnit val="10"/>
        <c:minorUnit val="10"/>
      </c:valAx>
      <c:valAx>
        <c:axId val="414303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429534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075"/>
          <c:w val="0.897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3 Tail (C)'!$B$9:$B$18</c:f>
              <c:numCache/>
            </c:numRef>
          </c:xVal>
          <c:yVal>
            <c:numRef>
              <c:f>'Pass 3 Tail (C)'!$F$9:$F$18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3 Tail (C)'!$H$30:$H$31</c:f>
              <c:numCache/>
            </c:numRef>
          </c:xVal>
          <c:yVal>
            <c:numRef>
              <c:f>'Pass 3 Tail (C)'!$I$30:$I$31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3 Tail (C)'!$H$31:$H$32</c:f>
              <c:numCache/>
            </c:numRef>
          </c:xVal>
          <c:yVal>
            <c:numRef>
              <c:f>'Pass 3 Tail (C)'!$I$31:$I$32</c:f>
              <c:numCache/>
            </c:numRef>
          </c:yVal>
          <c:smooth val="0"/>
        </c:ser>
        <c:axId val="37328840"/>
        <c:axId val="415241"/>
      </c:scatterChart>
      <c:valAx>
        <c:axId val="37328840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5241"/>
        <c:crossesAt val="0"/>
        <c:crossBetween val="midCat"/>
        <c:dispUnits/>
        <c:majorUnit val="10"/>
        <c:minorUnit val="10"/>
      </c:valAx>
      <c:valAx>
        <c:axId val="4152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328840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3 Tail (D)'!$B$9:$B$18</c:f>
              <c:numCache/>
            </c:numRef>
          </c:xVal>
          <c:yVal>
            <c:numRef>
              <c:f>'Pass 3 Tail (D)'!$F$9:$F$18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3 Tail (D)'!$H$30:$H$31</c:f>
              <c:numCache/>
            </c:numRef>
          </c:xVal>
          <c:yVal>
            <c:numRef>
              <c:f>'Pass 3 Tail (D)'!$I$30:$I$31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3 Tail (D)'!$H$31:$H$32</c:f>
              <c:numCache/>
            </c:numRef>
          </c:xVal>
          <c:yVal>
            <c:numRef>
              <c:f>'Pass 3 Tail (D)'!$I$31:$I$32</c:f>
              <c:numCache/>
            </c:numRef>
          </c:yVal>
          <c:smooth val="0"/>
        </c:ser>
        <c:axId val="3737170"/>
        <c:axId val="33634531"/>
      </c:scatterChart>
      <c:valAx>
        <c:axId val="3737170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634531"/>
        <c:crossesAt val="0"/>
        <c:crossBetween val="midCat"/>
        <c:dispUnits/>
        <c:majorUnit val="10"/>
        <c:minorUnit val="10"/>
      </c:valAx>
      <c:valAx>
        <c:axId val="336345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37170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4925"/>
          <c:h val="0.926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'E-GRG-1'!$N$35:$N$37</c:f>
              <c:numCache/>
            </c:numRef>
          </c:xVal>
          <c:yVal>
            <c:numRef>
              <c:f>'E-GRG-1'!$O$35:$O$37</c:f>
              <c:numCache/>
            </c:numRef>
          </c:yVal>
          <c:smooth val="1"/>
        </c:ser>
        <c:axId val="50731302"/>
        <c:axId val="53928535"/>
      </c:scatterChart>
      <c:val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P80, µm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At val="0"/>
        <c:crossBetween val="midCat"/>
        <c:dispUnits/>
      </c:valAx>
      <c:valAx>
        <c:axId val="539285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 Recovery (%)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'Pass1 Conc'!$B$9:$B$18</c:f>
              <c:numCache/>
            </c:numRef>
          </c:xVal>
          <c:yVal>
            <c:numRef>
              <c:f>'Pass1 Conc'!$F$9:$F$18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strRef>
              <c:f>'Pass1 Conc'!$H$30:$H$31</c:f>
              <c:strCache/>
            </c:strRef>
          </c:xVal>
          <c:yVal>
            <c:numRef>
              <c:f>'Pass1 Conc'!$I$30:$I$31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strRef>
              <c:f>'Pass1 Conc'!$H$31:$H$32</c:f>
              <c:strCache/>
            </c:strRef>
          </c:xVal>
          <c:yVal>
            <c:numRef>
              <c:f>'Pass1 Conc'!$I$31:$I$32</c:f>
              <c:numCache/>
            </c:numRef>
          </c:yVal>
          <c:smooth val="0"/>
        </c:ser>
        <c:axId val="15594768"/>
        <c:axId val="6135185"/>
      </c:scatterChart>
      <c:valAx>
        <c:axId val="15594768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35185"/>
        <c:crossesAt val="0"/>
        <c:crossBetween val="midCat"/>
        <c:dispUnits/>
        <c:majorUnit val="10"/>
        <c:minorUnit val="10"/>
      </c:valAx>
      <c:valAx>
        <c:axId val="61351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594768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'Pass1 Conc'!$B$9:$B$20</c:f>
              <c:numCache/>
            </c:numRef>
          </c:xVal>
          <c:yVal>
            <c:numRef>
              <c:f>'Pass1 Conc'!$F$9:$F$20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'[1]GRG-1Conc.'!$H$32:$H$33</c:f>
              <c:numCache>
                <c:ptCount val="2"/>
                <c:pt idx="0">
                  <c:v>10</c:v>
                </c:pt>
                <c:pt idx="1">
                  <c:v>661.167024824344</c:v>
                </c:pt>
              </c:numCache>
            </c:numRef>
          </c:xVal>
          <c:yVal>
            <c:numRef>
              <c:f>'[1]GRG-1Conc.'!$I$32:$I$33</c:f>
              <c:numCach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'[1]GRG-1Conc.'!$H$33:$H$34</c:f>
              <c:numCache>
                <c:ptCount val="2"/>
                <c:pt idx="0">
                  <c:v>661.167024824344</c:v>
                </c:pt>
                <c:pt idx="1">
                  <c:v>661.167024824344</c:v>
                </c:pt>
              </c:numCache>
            </c:numRef>
          </c:xVal>
          <c:yVal>
            <c:numRef>
              <c:f>'[1]GRG-1Conc.'!$I$33:$I$34</c:f>
              <c:numCache>
                <c:ptCount val="2"/>
                <c:pt idx="0">
                  <c:v>80</c:v>
                </c:pt>
                <c:pt idx="1">
                  <c:v>0</c:v>
                </c:pt>
              </c:numCache>
            </c:numRef>
          </c:yVal>
          <c:smooth val="0"/>
        </c:ser>
        <c:axId val="55216666"/>
        <c:axId val="27187947"/>
      </c:scatterChart>
      <c:valAx>
        <c:axId val="55216666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187947"/>
        <c:crossesAt val="0"/>
        <c:crossBetween val="midCat"/>
        <c:dispUnits/>
        <c:majorUnit val="10"/>
        <c:minorUnit val="10"/>
      </c:valAx>
      <c:valAx>
        <c:axId val="271879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216666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1 Tails'!$B$9:$B$18</c:f>
              <c:numCache/>
            </c:numRef>
          </c:xVal>
          <c:yVal>
            <c:numRef>
              <c:f>'Pass 1 Tails'!$F$9:$F$18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strRef>
              <c:f>'Pass 1 Tails'!$H$30:$H$31</c:f>
              <c:strCache/>
            </c:strRef>
          </c:xVal>
          <c:yVal>
            <c:numRef>
              <c:f>'Pass 1 Tails'!$I$30:$I$31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strRef>
              <c:f>'Pass 1 Tails'!$H$31:$H$32</c:f>
              <c:strCache/>
            </c:strRef>
          </c:xVal>
          <c:yVal>
            <c:numRef>
              <c:f>'Pass 1 Tails'!$I$31:$I$32</c:f>
              <c:numCache/>
            </c:numRef>
          </c:yVal>
          <c:smooth val="0"/>
        </c:ser>
        <c:axId val="43364932"/>
        <c:axId val="54740069"/>
      </c:scatterChart>
      <c:valAx>
        <c:axId val="43364932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740069"/>
        <c:crossesAt val="0"/>
        <c:crossBetween val="midCat"/>
        <c:dispUnits/>
        <c:majorUnit val="10"/>
        <c:minorUnit val="10"/>
      </c:valAx>
      <c:valAx>
        <c:axId val="547400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364932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1 Tails'!$B$9:$B$20</c:f>
              <c:numCache/>
            </c:numRef>
          </c:xVal>
          <c:yVal>
            <c:numRef>
              <c:f>'Pass 1 Tails'!$F$9:$F$20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'[1]GRG-1Tail'!$H$32:$H$33</c:f>
              <c:numCache>
                <c:ptCount val="2"/>
                <c:pt idx="0">
                  <c:v>10</c:v>
                </c:pt>
                <c:pt idx="1">
                  <c:v>653.4674603364203</c:v>
                </c:pt>
              </c:numCache>
            </c:numRef>
          </c:xVal>
          <c:yVal>
            <c:numRef>
              <c:f>'[1]GRG-1Tail'!$I$32:$I$33</c:f>
              <c:numCach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'[1]GRG-1Tail'!$H$33:$H$34</c:f>
              <c:numCache>
                <c:ptCount val="2"/>
                <c:pt idx="0">
                  <c:v>653.4674603364203</c:v>
                </c:pt>
                <c:pt idx="1">
                  <c:v>653.4674603364203</c:v>
                </c:pt>
              </c:numCache>
            </c:numRef>
          </c:xVal>
          <c:yVal>
            <c:numRef>
              <c:f>'[1]GRG-1Tail'!$I$33:$I$34</c:f>
              <c:numCache>
                <c:ptCount val="2"/>
                <c:pt idx="0">
                  <c:v>80</c:v>
                </c:pt>
                <c:pt idx="1">
                  <c:v>0</c:v>
                </c:pt>
              </c:numCache>
            </c:numRef>
          </c:yVal>
          <c:smooth val="0"/>
        </c:ser>
        <c:axId val="22898574"/>
        <c:axId val="4760575"/>
      </c:scatterChart>
      <c:valAx>
        <c:axId val="2289857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60575"/>
        <c:crossesAt val="0"/>
        <c:crossBetween val="midCat"/>
        <c:dispUnits/>
        <c:majorUnit val="10"/>
        <c:minorUnit val="10"/>
      </c:valAx>
      <c:valAx>
        <c:axId val="47605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898574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075"/>
          <c:w val="0.897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1 Grind (15min)'!$B$9:$B$18</c:f>
              <c:numCache/>
            </c:numRef>
          </c:xVal>
          <c:yVal>
            <c:numRef>
              <c:f>'Pass 1 Grind (15min)'!$F$9:$F$18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1 Grind (15min)'!$H$30:$H$31</c:f>
              <c:numCache/>
            </c:numRef>
          </c:xVal>
          <c:yVal>
            <c:numRef>
              <c:f>'Pass 1 Grind (15min)'!$I$30:$I$31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1 Grind (15min)'!$H$31:$H$32</c:f>
              <c:numCache/>
            </c:numRef>
          </c:xVal>
          <c:yVal>
            <c:numRef>
              <c:f>'Pass 1 Grind (15min)'!$I$31:$I$32</c:f>
              <c:numCache/>
            </c:numRef>
          </c:yVal>
          <c:smooth val="0"/>
        </c:ser>
        <c:axId val="42845176"/>
        <c:axId val="50062265"/>
      </c:scatterChart>
      <c:valAx>
        <c:axId val="42845176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062265"/>
        <c:crossesAt val="0"/>
        <c:crossBetween val="midCat"/>
        <c:dispUnits/>
        <c:majorUnit val="10"/>
        <c:minorUnit val="10"/>
      </c:valAx>
      <c:valAx>
        <c:axId val="500622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845176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85"/>
          <c:w val="0.8962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2 Conc'!$B$9:$B$18</c:f>
              <c:numCache/>
            </c:numRef>
          </c:xVal>
          <c:yVal>
            <c:numRef>
              <c:f>'Pass 2 Conc'!$F$9:$F$18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2 Conc'!$H$30:$H$31</c:f>
              <c:numCache/>
            </c:numRef>
          </c:xVal>
          <c:yVal>
            <c:numRef>
              <c:f>'Pass 2 Conc'!$I$30:$I$31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2 Conc'!$H$31:$H$32</c:f>
              <c:numCache/>
            </c:numRef>
          </c:xVal>
          <c:yVal>
            <c:numRef>
              <c:f>'Pass 2 Conc'!$I$31:$I$32</c:f>
              <c:numCache/>
            </c:numRef>
          </c:yVal>
          <c:smooth val="0"/>
        </c:ser>
        <c:axId val="47907202"/>
        <c:axId val="28511635"/>
      </c:scatterChart>
      <c:valAx>
        <c:axId val="47907202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511635"/>
        <c:crossesAt val="0"/>
        <c:crossBetween val="midCat"/>
        <c:dispUnits/>
        <c:majorUnit val="10"/>
        <c:minorUnit val="10"/>
      </c:valAx>
      <c:valAx>
        <c:axId val="285116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907202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075"/>
          <c:w val="0.897"/>
          <c:h val="0.71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'Pass 2 Tail (A)'!$B$9:$B$18</c:f>
              <c:numCache/>
            </c:numRef>
          </c:xVal>
          <c:yVal>
            <c:numRef>
              <c:f>'Pass 2 Tail (A)'!$F$9:$F$18</c:f>
              <c:numCache/>
            </c:numRef>
          </c:yVal>
          <c:smooth val="0"/>
        </c:ser>
        <c:ser>
          <c:idx val="1"/>
          <c:order val="1"/>
          <c:tx>
            <c:v>horizontal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xVal>
            <c:numRef>
              <c:f>'Pass 2 Tail (A)'!$H$30:$H$31</c:f>
              <c:numCache/>
            </c:numRef>
          </c:xVal>
          <c:yVal>
            <c:numRef>
              <c:f>'Pass 2 Tail (A)'!$I$30:$I$31</c:f>
              <c:numCache/>
            </c:numRef>
          </c:yVal>
          <c:smooth val="0"/>
        </c:ser>
        <c:ser>
          <c:idx val="2"/>
          <c:order val="2"/>
          <c:tx>
            <c:v>Vertical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'Pass 2 Tail (A)'!$H$31:$H$32</c:f>
              <c:numCache/>
            </c:numRef>
          </c:xVal>
          <c:yVal>
            <c:numRef>
              <c:f>'Pass 2 Tail (A)'!$I$31:$I$32</c:f>
              <c:numCache/>
            </c:numRef>
          </c:yVal>
          <c:smooth val="0"/>
        </c:ser>
        <c:axId val="55278124"/>
        <c:axId val="27741069"/>
      </c:scatterChart>
      <c:valAx>
        <c:axId val="5527812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Screen Size (micrometers)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741069"/>
        <c:crossesAt val="0"/>
        <c:crossBetween val="midCat"/>
        <c:dispUnits/>
        <c:majorUnit val="10"/>
        <c:minorUnit val="10"/>
      </c:valAx>
      <c:valAx>
        <c:axId val="277410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 Passing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278124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141</xdr:row>
      <xdr:rowOff>0</xdr:rowOff>
    </xdr:from>
    <xdr:to>
      <xdr:col>10</xdr:col>
      <xdr:colOff>104775</xdr:colOff>
      <xdr:row>161</xdr:row>
      <xdr:rowOff>47625</xdr:rowOff>
    </xdr:to>
    <xdr:graphicFrame>
      <xdr:nvGraphicFramePr>
        <xdr:cNvPr id="1" name="Chart 1"/>
        <xdr:cNvGraphicFramePr/>
      </xdr:nvGraphicFramePr>
      <xdr:xfrm>
        <a:off x="371475" y="26441400"/>
        <a:ext cx="59340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30</xdr:row>
      <xdr:rowOff>95250</xdr:rowOff>
    </xdr:from>
    <xdr:to>
      <xdr:col>10</xdr:col>
      <xdr:colOff>552450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304800" y="6800850"/>
        <a:ext cx="64484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762000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7620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8a7ac67f-5021-41ac-aa6d-ab51e2929e3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99 µm</a:t>
          </a:fld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762000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7620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5dc15fb9-7160-4a83-a8d3-5d0194ef96f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95 µm</a:t>
          </a:fld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762000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7620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870f2177-804c-428c-af6c-063ea807931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92 µm</a:t>
          </a:fld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762000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7620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d59a0b03-2bf5-47dd-a83a-ddcc1b5eb58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79 µm</a:t>
          </a:fld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742950</xdr:colOff>
      <xdr:row>35</xdr:row>
      <xdr:rowOff>123825</xdr:rowOff>
    </xdr:from>
    <xdr:ext cx="238125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86100" y="5619750"/>
          <a:ext cx="2381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b25b554b-da26-4fdf-84c7-056ae8734c3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683</a:t>
          </a:fld>
        </a:p>
      </xdr:txBody>
    </xdr:sp>
    <xdr:clientData/>
  </xdr:oneCellAnchor>
  <xdr:twoCellAnchor>
    <xdr:from>
      <xdr:col>0</xdr:col>
      <xdr:colOff>0</xdr:colOff>
      <xdr:row>25</xdr:row>
      <xdr:rowOff>28575</xdr:rowOff>
    </xdr:from>
    <xdr:to>
      <xdr:col>6</xdr:col>
      <xdr:colOff>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0" y="3971925"/>
        <a:ext cx="4686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733425</xdr:colOff>
      <xdr:row>37</xdr:row>
      <xdr:rowOff>123825</xdr:rowOff>
    </xdr:from>
    <xdr:ext cx="828675" cy="200025"/>
    <xdr:sp textlink="$H$36">
      <xdr:nvSpPr>
        <xdr:cNvPr id="4" name="Text Box 4"/>
        <xdr:cNvSpPr txBox="1">
          <a:spLocks noChangeArrowheads="1"/>
        </xdr:cNvSpPr>
      </xdr:nvSpPr>
      <xdr:spPr>
        <a:xfrm>
          <a:off x="3076575" y="5943600"/>
          <a:ext cx="8286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6bf62c75-1d8d-401d-9811-d732c4e9eb3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683 µm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733425</xdr:colOff>
      <xdr:row>35</xdr:row>
      <xdr:rowOff>133350</xdr:rowOff>
    </xdr:from>
    <xdr:ext cx="238125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76575" y="5629275"/>
          <a:ext cx="2381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d53b9e3c-d8d0-4090-90e8-caa03b14601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651</a:t>
          </a:fld>
        </a:p>
      </xdr:txBody>
    </xdr:sp>
    <xdr:clientData/>
  </xdr:oneCellAnchor>
  <xdr:twoCellAnchor>
    <xdr:from>
      <xdr:col>0</xdr:col>
      <xdr:colOff>0</xdr:colOff>
      <xdr:row>25</xdr:row>
      <xdr:rowOff>28575</xdr:rowOff>
    </xdr:from>
    <xdr:to>
      <xdr:col>6</xdr:col>
      <xdr:colOff>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0" y="3971925"/>
        <a:ext cx="4686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723900</xdr:colOff>
      <xdr:row>37</xdr:row>
      <xdr:rowOff>133350</xdr:rowOff>
    </xdr:from>
    <xdr:ext cx="828675" cy="200025"/>
    <xdr:sp textlink="$H$36">
      <xdr:nvSpPr>
        <xdr:cNvPr id="4" name="Text Box 4"/>
        <xdr:cNvSpPr txBox="1">
          <a:spLocks noChangeArrowheads="1"/>
        </xdr:cNvSpPr>
      </xdr:nvSpPr>
      <xdr:spPr>
        <a:xfrm>
          <a:off x="3067050" y="5953125"/>
          <a:ext cx="8286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83231981-e70e-4a8e-8825-9dfeb091250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651 µm</a:t>
          </a:fld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828675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8286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2dc5b453-acfe-46fd-b55f-6cfd2c5ab8b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255 µm</a:t>
          </a:fld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828675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8286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10339e40-1578-4fe2-8389-183761f5390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252 µm</a:t>
          </a:fld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828675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8286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71c172a7-8290-4932-a3ca-c2dea274034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248 µm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723900</xdr:colOff>
      <xdr:row>35</xdr:row>
      <xdr:rowOff>133350</xdr:rowOff>
    </xdr:from>
    <xdr:ext cx="828675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67050" y="5629275"/>
          <a:ext cx="8286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78828740-0c05-4ce4-a075-3dc41beb467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204 µm</a:t>
          </a:fld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685800</xdr:colOff>
      <xdr:row>35</xdr:row>
      <xdr:rowOff>133350</xdr:rowOff>
    </xdr:from>
    <xdr:ext cx="828675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028950" y="5629275"/>
          <a:ext cx="82867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62c94ce0-ba1f-488e-8f27-2158689bcf4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129 µm</a:t>
          </a:fld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762000</xdr:colOff>
      <xdr:row>35</xdr:row>
      <xdr:rowOff>133350</xdr:rowOff>
    </xdr:from>
    <xdr:ext cx="762000" cy="200025"/>
    <xdr:sp textlink="$H$34">
      <xdr:nvSpPr>
        <xdr:cNvPr id="2" name="Text Box 2"/>
        <xdr:cNvSpPr txBox="1">
          <a:spLocks noChangeArrowheads="1"/>
        </xdr:cNvSpPr>
      </xdr:nvSpPr>
      <xdr:spPr>
        <a:xfrm>
          <a:off x="3105150" y="5629275"/>
          <a:ext cx="7620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09ee190f-c07f-4060-963e-531b9b38b2a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K80 = 94 µm</a:t>
          </a:fld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aslowski\AppData\Local\Microsoft\Windows\Temporary%20Internet%20Files\Content.Outlook\EFDODYBT\PSA%2010-500%20GRG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G-1Tail"/>
      <sheetName val="GRG-1Conc."/>
      <sheetName val="GRG-2Tail"/>
      <sheetName val="GRG-2Conc."/>
      <sheetName val="GRG-3Tail"/>
      <sheetName val="GRG-3Conc."/>
    </sheetNames>
    <sheetDataSet>
      <sheetData sheetId="0">
        <row r="32">
          <cell r="H32">
            <v>10</v>
          </cell>
          <cell r="I32">
            <v>80</v>
          </cell>
        </row>
        <row r="33">
          <cell r="H33">
            <v>653.4674603364203</v>
          </cell>
          <cell r="I33">
            <v>80</v>
          </cell>
        </row>
        <row r="34">
          <cell r="H34">
            <v>653.4674603364203</v>
          </cell>
          <cell r="I34">
            <v>0</v>
          </cell>
        </row>
      </sheetData>
      <sheetData sheetId="1">
        <row r="32">
          <cell r="H32">
            <v>10</v>
          </cell>
          <cell r="I32">
            <v>80</v>
          </cell>
        </row>
        <row r="33">
          <cell r="H33">
            <v>661.167024824344</v>
          </cell>
          <cell r="I33">
            <v>80</v>
          </cell>
        </row>
        <row r="34">
          <cell r="H34">
            <v>661.167024824344</v>
          </cell>
          <cell r="I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40"/>
  <sheetViews>
    <sheetView showGridLines="0" tabSelected="1" view="pageBreakPreview" zoomScaleSheetLayoutView="100" zoomScalePageLayoutView="0" workbookViewId="0" topLeftCell="A1">
      <selection activeCell="AA51" sqref="AA51"/>
    </sheetView>
  </sheetViews>
  <sheetFormatPr defaultColWidth="9.140625" defaultRowHeight="12.75"/>
  <cols>
    <col min="1" max="1" width="4.00390625" style="185" customWidth="1"/>
    <col min="2" max="3" width="8.7109375" style="185" customWidth="1"/>
    <col min="4" max="4" width="10.7109375" style="185" customWidth="1"/>
    <col min="5" max="5" width="11.140625" style="185" customWidth="1"/>
    <col min="6" max="6" width="10.8515625" style="185" customWidth="1"/>
    <col min="7" max="7" width="11.00390625" style="185" customWidth="1"/>
    <col min="8" max="8" width="9.00390625" style="185" customWidth="1"/>
    <col min="9" max="9" width="10.140625" style="185" customWidth="1"/>
    <col min="10" max="10" width="8.7109375" style="185" customWidth="1"/>
    <col min="11" max="11" width="9.57421875" style="185" customWidth="1"/>
    <col min="12" max="13" width="10.28125" style="185" customWidth="1"/>
    <col min="14" max="14" width="7.7109375" style="185" customWidth="1"/>
    <col min="15" max="15" width="9.7109375" style="185" customWidth="1"/>
    <col min="16" max="213" width="7.7109375" style="185" customWidth="1"/>
    <col min="214" max="16384" width="9.140625" style="185" customWidth="1"/>
  </cols>
  <sheetData>
    <row r="2" spans="2:11" s="235" customFormat="1" ht="12.75">
      <c r="B2" s="230" t="s">
        <v>107</v>
      </c>
      <c r="C2" s="231"/>
      <c r="D2" s="230" t="s">
        <v>99</v>
      </c>
      <c r="E2" s="231"/>
      <c r="F2" s="231"/>
      <c r="G2" s="230" t="s">
        <v>90</v>
      </c>
      <c r="H2" s="232" t="s">
        <v>113</v>
      </c>
      <c r="I2" s="233"/>
      <c r="J2" s="231" t="s">
        <v>91</v>
      </c>
      <c r="K2" s="234">
        <v>41827</v>
      </c>
    </row>
    <row r="3" spans="2:11" s="235" customFormat="1" ht="12.75">
      <c r="B3" s="236"/>
      <c r="D3" s="236"/>
      <c r="K3" s="237"/>
    </row>
    <row r="4" spans="2:4" s="235" customFormat="1" ht="12.75">
      <c r="B4" s="236" t="s">
        <v>62</v>
      </c>
      <c r="D4" s="235" t="s">
        <v>100</v>
      </c>
    </row>
    <row r="5" s="235" customFormat="1" ht="12.75"/>
    <row r="6" spans="2:11" s="235" customFormat="1" ht="27" customHeight="1">
      <c r="B6" s="238" t="s">
        <v>0</v>
      </c>
      <c r="C6" s="239"/>
      <c r="D6" s="481" t="s">
        <v>101</v>
      </c>
      <c r="E6" s="481"/>
      <c r="F6" s="481"/>
      <c r="G6" s="481"/>
      <c r="H6" s="481"/>
      <c r="I6" s="481"/>
      <c r="J6" s="481"/>
      <c r="K6" s="481"/>
    </row>
    <row r="7" s="235" customFormat="1" ht="12.75"/>
    <row r="8" spans="2:11" ht="118.5" customHeight="1">
      <c r="B8" s="238" t="s">
        <v>1</v>
      </c>
      <c r="C8" s="235"/>
      <c r="D8" s="482" t="s">
        <v>122</v>
      </c>
      <c r="E8" s="482"/>
      <c r="F8" s="482"/>
      <c r="G8" s="482"/>
      <c r="H8" s="482"/>
      <c r="I8" s="482"/>
      <c r="J8" s="482"/>
      <c r="K8" s="482"/>
    </row>
    <row r="10" spans="2:4" ht="12.75">
      <c r="B10" s="240" t="s">
        <v>2</v>
      </c>
      <c r="D10" s="184" t="s">
        <v>102</v>
      </c>
    </row>
    <row r="11" ht="15.75">
      <c r="L11" s="241" t="s">
        <v>96</v>
      </c>
    </row>
    <row r="12" spans="2:12" ht="15.75">
      <c r="B12" s="240" t="s">
        <v>3</v>
      </c>
      <c r="D12" s="185" t="s">
        <v>77</v>
      </c>
      <c r="E12" s="184" t="s">
        <v>4</v>
      </c>
      <c r="I12" s="242" t="s">
        <v>97</v>
      </c>
      <c r="J12" s="243">
        <f>C20</f>
        <v>651.2050788917564</v>
      </c>
      <c r="L12" s="244"/>
    </row>
    <row r="13" spans="4:12" ht="15.75">
      <c r="D13" s="185" t="s">
        <v>78</v>
      </c>
      <c r="E13" s="245" t="s">
        <v>123</v>
      </c>
      <c r="I13" s="242" t="s">
        <v>97</v>
      </c>
      <c r="J13" s="243">
        <f>C22</f>
        <v>203.8277101757472</v>
      </c>
      <c r="L13" s="244">
        <v>200</v>
      </c>
    </row>
    <row r="14" spans="4:12" ht="15.75">
      <c r="D14" s="185" t="s">
        <v>79</v>
      </c>
      <c r="E14" s="245" t="s">
        <v>124</v>
      </c>
      <c r="I14" s="242" t="s">
        <v>97</v>
      </c>
      <c r="J14" s="243">
        <f>C24</f>
        <v>79.432010836497</v>
      </c>
      <c r="L14" s="244">
        <v>75</v>
      </c>
    </row>
    <row r="15" ht="12.75">
      <c r="E15" s="184" t="s">
        <v>119</v>
      </c>
    </row>
    <row r="16" ht="12.75">
      <c r="B16" s="240" t="s">
        <v>5</v>
      </c>
    </row>
    <row r="17" ht="13.5" thickBot="1">
      <c r="B17" s="240"/>
    </row>
    <row r="18" spans="2:13" ht="12.75">
      <c r="B18" s="246" t="s">
        <v>6</v>
      </c>
      <c r="C18" s="247"/>
      <c r="D18" s="248" t="s">
        <v>7</v>
      </c>
      <c r="E18" s="249"/>
      <c r="F18" s="483" t="s">
        <v>8</v>
      </c>
      <c r="G18" s="483"/>
      <c r="H18" s="250" t="s">
        <v>9</v>
      </c>
      <c r="I18" s="250" t="s">
        <v>10</v>
      </c>
      <c r="J18" s="251" t="s">
        <v>11</v>
      </c>
      <c r="K18" s="252"/>
      <c r="L18" s="252"/>
      <c r="M18" s="252"/>
    </row>
    <row r="19" spans="2:13" ht="13.5" thickBot="1">
      <c r="B19" s="253"/>
      <c r="C19" s="254"/>
      <c r="D19" s="255"/>
      <c r="E19" s="256"/>
      <c r="F19" s="257" t="s">
        <v>12</v>
      </c>
      <c r="G19" s="258" t="s">
        <v>13</v>
      </c>
      <c r="H19" s="258" t="s">
        <v>14</v>
      </c>
      <c r="I19" s="258" t="s">
        <v>15</v>
      </c>
      <c r="J19" s="259" t="s">
        <v>13</v>
      </c>
      <c r="K19" s="252"/>
      <c r="L19" s="252"/>
      <c r="M19" s="252"/>
    </row>
    <row r="20" spans="2:13" ht="15.75">
      <c r="B20" s="260" t="s">
        <v>98</v>
      </c>
      <c r="C20" s="261">
        <f>N35</f>
        <v>651.2050788917564</v>
      </c>
      <c r="D20" s="262" t="s">
        <v>16</v>
      </c>
      <c r="E20" s="263"/>
      <c r="F20" s="264">
        <f>D65</f>
        <v>92.1</v>
      </c>
      <c r="G20" s="456">
        <f aca="true" t="shared" si="0" ref="G20:G25">F20/F$26%</f>
        <v>0.50010588561096</v>
      </c>
      <c r="H20" s="265">
        <f>F65</f>
        <v>29416.500065146585</v>
      </c>
      <c r="I20" s="266">
        <f aca="true" t="shared" si="1" ref="I20:I25">F20*H20</f>
        <v>2709259.6560000004</v>
      </c>
      <c r="J20" s="267">
        <f aca="true" t="shared" si="2" ref="J20:J25">I20/I$26%</f>
        <v>69.23489970743414</v>
      </c>
      <c r="K20" s="252"/>
      <c r="L20" s="268">
        <f>G20%*H20</f>
        <v>147.11364816654995</v>
      </c>
      <c r="M20" s="252"/>
    </row>
    <row r="21" spans="2:13" ht="12.75">
      <c r="B21" s="269"/>
      <c r="C21" s="270"/>
      <c r="D21" s="271" t="s">
        <v>17</v>
      </c>
      <c r="E21" s="272"/>
      <c r="F21" s="273">
        <f>O65</f>
        <v>327</v>
      </c>
      <c r="G21" s="274">
        <f t="shared" si="0"/>
        <v>1.775620245328816</v>
      </c>
      <c r="H21" s="278">
        <f>J65</f>
        <v>48.888657492354746</v>
      </c>
      <c r="I21" s="276">
        <f t="shared" si="1"/>
        <v>15986.591000000002</v>
      </c>
      <c r="J21" s="277">
        <f t="shared" si="2"/>
        <v>0.40853597110839984</v>
      </c>
      <c r="K21" s="252"/>
      <c r="L21" s="252"/>
      <c r="M21" s="252"/>
    </row>
    <row r="22" spans="2:13" ht="15.75">
      <c r="B22" s="269" t="s">
        <v>98</v>
      </c>
      <c r="C22" s="270">
        <f>N36</f>
        <v>203.8277101757472</v>
      </c>
      <c r="D22" s="271" t="s">
        <v>18</v>
      </c>
      <c r="E22" s="272"/>
      <c r="F22" s="273">
        <f>D84</f>
        <v>77.29999999999998</v>
      </c>
      <c r="G22" s="274">
        <f t="shared" si="0"/>
        <v>0.4197414219080044</v>
      </c>
      <c r="H22" s="278">
        <f>F84</f>
        <v>11129.306196636484</v>
      </c>
      <c r="I22" s="276">
        <f t="shared" si="1"/>
        <v>860295.3690000001</v>
      </c>
      <c r="J22" s="279">
        <f t="shared" si="2"/>
        <v>21.984774866291016</v>
      </c>
      <c r="K22" s="252"/>
      <c r="L22" s="268">
        <f>G22%*H22</f>
        <v>46.71430807825762</v>
      </c>
      <c r="M22" s="252"/>
    </row>
    <row r="23" spans="2:13" ht="12.75">
      <c r="B23" s="269"/>
      <c r="C23" s="270"/>
      <c r="D23" s="271" t="s">
        <v>17</v>
      </c>
      <c r="E23" s="272"/>
      <c r="F23" s="273">
        <f>O84</f>
        <v>309.29999999999995</v>
      </c>
      <c r="G23" s="274">
        <f t="shared" si="0"/>
        <v>1.6795086907651458</v>
      </c>
      <c r="H23" s="278">
        <f>J84</f>
        <v>20.578457807953445</v>
      </c>
      <c r="I23" s="276">
        <f t="shared" si="1"/>
        <v>6364.9169999999995</v>
      </c>
      <c r="J23" s="277">
        <f t="shared" si="2"/>
        <v>0.16265491170815355</v>
      </c>
      <c r="K23" s="252"/>
      <c r="L23" s="252"/>
      <c r="M23" s="252"/>
    </row>
    <row r="24" spans="2:13" ht="15.75">
      <c r="B24" s="269" t="s">
        <v>98</v>
      </c>
      <c r="C24" s="270">
        <f>N37</f>
        <v>79.432010836497</v>
      </c>
      <c r="D24" s="271" t="s">
        <v>19</v>
      </c>
      <c r="E24" s="272"/>
      <c r="F24" s="273">
        <f>D100</f>
        <v>77.9</v>
      </c>
      <c r="G24" s="274">
        <f t="shared" si="0"/>
        <v>0.422999440706773</v>
      </c>
      <c r="H24" s="278">
        <f>F100</f>
        <v>2286.241335044929</v>
      </c>
      <c r="I24" s="276">
        <f t="shared" si="1"/>
        <v>178098.2</v>
      </c>
      <c r="J24" s="279">
        <f t="shared" si="2"/>
        <v>4.551284328826452</v>
      </c>
      <c r="K24" s="252"/>
      <c r="L24" s="268">
        <f>G24%*H24</f>
        <v>9.67078806044711</v>
      </c>
      <c r="M24" s="252"/>
    </row>
    <row r="25" spans="2:13" ht="13.5" thickBot="1">
      <c r="B25" s="280"/>
      <c r="C25" s="281"/>
      <c r="D25" s="271" t="s">
        <v>20</v>
      </c>
      <c r="E25" s="272"/>
      <c r="F25" s="458">
        <f>H100</f>
        <v>17532.5</v>
      </c>
      <c r="G25" s="282">
        <f t="shared" si="0"/>
        <v>95.20202431568032</v>
      </c>
      <c r="H25" s="275">
        <f>J100</f>
        <v>8.164087157477715</v>
      </c>
      <c r="I25" s="283">
        <f t="shared" si="1"/>
        <v>143136.85808847804</v>
      </c>
      <c r="J25" s="279">
        <f t="shared" si="2"/>
        <v>3.6578502146318486</v>
      </c>
      <c r="K25" s="252"/>
      <c r="L25" s="252"/>
      <c r="M25" s="252"/>
    </row>
    <row r="26" spans="2:13" ht="12.75">
      <c r="B26" s="284"/>
      <c r="C26" s="247"/>
      <c r="D26" s="262" t="s">
        <v>21</v>
      </c>
      <c r="E26" s="263"/>
      <c r="F26" s="474">
        <f>SUM(F20:F25)</f>
        <v>18416.1</v>
      </c>
      <c r="G26" s="472">
        <f>SUM(G20:G25)</f>
        <v>100.00000000000001</v>
      </c>
      <c r="H26" s="457">
        <f>I26/F26</f>
        <v>212.48481443348368</v>
      </c>
      <c r="I26" s="266">
        <f>SUM(I20:I25)</f>
        <v>3913141.5910884785</v>
      </c>
      <c r="J26" s="267">
        <f>SUM(J20:J25)</f>
        <v>100.00000000000003</v>
      </c>
      <c r="K26" s="252"/>
      <c r="L26" s="252"/>
      <c r="M26" s="252"/>
    </row>
    <row r="27" spans="2:13" ht="12.75">
      <c r="B27" s="312"/>
      <c r="C27" s="468"/>
      <c r="D27" s="271" t="s">
        <v>121</v>
      </c>
      <c r="E27" s="272"/>
      <c r="F27" s="469"/>
      <c r="G27" s="276"/>
      <c r="H27" s="470">
        <v>215.5</v>
      </c>
      <c r="I27" s="276"/>
      <c r="J27" s="471"/>
      <c r="K27" s="252"/>
      <c r="L27" s="252"/>
      <c r="M27" s="252"/>
    </row>
    <row r="28" spans="2:13" ht="13.5" thickBot="1">
      <c r="B28" s="285"/>
      <c r="C28" s="254"/>
      <c r="D28" s="286" t="s">
        <v>22</v>
      </c>
      <c r="E28" s="287"/>
      <c r="F28" s="288">
        <f>SUM(F20,F22,F24)</f>
        <v>247.29999999999998</v>
      </c>
      <c r="G28" s="473">
        <f>SUM(G20,G22,G24)</f>
        <v>1.3428467482257374</v>
      </c>
      <c r="H28" s="289">
        <f>I28/F28</f>
        <v>15154.27911443591</v>
      </c>
      <c r="I28" s="290">
        <f>SUM(I20,I22,I24)</f>
        <v>3747653.2250000006</v>
      </c>
      <c r="J28" s="291">
        <f>SUM(J20,J22,J24)</f>
        <v>95.77095890255161</v>
      </c>
      <c r="K28" s="252"/>
      <c r="L28" s="252"/>
      <c r="M28" s="292"/>
    </row>
    <row r="29" spans="2:13" ht="13.5" thickBot="1"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</row>
    <row r="30" spans="2:13" ht="13.5" thickBot="1">
      <c r="B30" s="252"/>
      <c r="C30" s="252"/>
      <c r="D30" s="484">
        <f>G140</f>
        <v>95.7709589025516</v>
      </c>
      <c r="E30" s="485"/>
      <c r="F30" s="252"/>
      <c r="G30" s="252"/>
      <c r="H30" s="252"/>
      <c r="I30" s="252"/>
      <c r="J30" s="252"/>
      <c r="K30" s="252"/>
      <c r="L30" s="252"/>
      <c r="M30" s="252"/>
    </row>
    <row r="31" spans="2:13" ht="12.75">
      <c r="B31" s="252"/>
      <c r="C31" s="252"/>
      <c r="D31" s="293"/>
      <c r="E31" s="252"/>
      <c r="F31" s="252"/>
      <c r="G31" s="252"/>
      <c r="H31" s="252"/>
      <c r="I31" s="252"/>
      <c r="J31" s="252"/>
      <c r="K31" s="252"/>
      <c r="L31" s="252"/>
      <c r="M31" s="252"/>
    </row>
    <row r="32" spans="2:13" ht="12.75">
      <c r="B32" s="252"/>
      <c r="C32" s="252"/>
      <c r="D32" s="293"/>
      <c r="E32" s="252"/>
      <c r="F32" s="252"/>
      <c r="G32" s="252"/>
      <c r="H32" s="252"/>
      <c r="I32" s="252"/>
      <c r="J32" s="252"/>
      <c r="K32" s="252"/>
      <c r="L32" s="252"/>
      <c r="M32" s="252"/>
    </row>
    <row r="33" spans="2:13" ht="12.75">
      <c r="B33" s="252"/>
      <c r="C33" s="252"/>
      <c r="D33" s="293"/>
      <c r="E33" s="252"/>
      <c r="F33" s="252"/>
      <c r="G33" s="252"/>
      <c r="H33" s="252"/>
      <c r="I33" s="252"/>
      <c r="J33" s="252"/>
      <c r="K33" s="252"/>
      <c r="L33" s="252"/>
      <c r="M33" s="252"/>
    </row>
    <row r="34" spans="2:13" ht="12.75">
      <c r="B34" s="252"/>
      <c r="C34" s="252"/>
      <c r="D34" s="293"/>
      <c r="E34" s="252"/>
      <c r="F34" s="252"/>
      <c r="G34" s="252"/>
      <c r="H34" s="252"/>
      <c r="I34" s="252"/>
      <c r="J34" s="252"/>
      <c r="K34" s="252"/>
      <c r="L34" s="252"/>
      <c r="M34" s="252"/>
    </row>
    <row r="35" spans="2:15" ht="12.75">
      <c r="B35" s="252"/>
      <c r="C35" s="252"/>
      <c r="D35" s="293"/>
      <c r="E35" s="252"/>
      <c r="F35" s="252"/>
      <c r="G35" s="252"/>
      <c r="H35" s="252"/>
      <c r="I35" s="252"/>
      <c r="J35" s="252"/>
      <c r="K35" s="252"/>
      <c r="L35" s="252"/>
      <c r="M35" s="252"/>
      <c r="N35" s="294">
        <f>'Pass 1 Tails'!B23</f>
        <v>651.2050788917564</v>
      </c>
      <c r="O35" s="295">
        <f>J20</f>
        <v>69.23489970743414</v>
      </c>
    </row>
    <row r="36" spans="2:15" ht="12.75">
      <c r="B36" s="252"/>
      <c r="C36" s="252"/>
      <c r="D36" s="293"/>
      <c r="E36" s="252"/>
      <c r="F36" s="252"/>
      <c r="G36" s="252"/>
      <c r="H36" s="252"/>
      <c r="I36" s="252"/>
      <c r="J36" s="252"/>
      <c r="K36" s="252"/>
      <c r="L36" s="252"/>
      <c r="M36" s="252"/>
      <c r="N36" s="294">
        <f>'Pass 2 Tail (B)'!B21</f>
        <v>203.8277101757472</v>
      </c>
      <c r="O36" s="295">
        <f>SUM(O35+J22)</f>
        <v>91.21967457372516</v>
      </c>
    </row>
    <row r="37" spans="2:15" ht="12.75">
      <c r="B37" s="252"/>
      <c r="C37" s="252"/>
      <c r="D37" s="293"/>
      <c r="E37" s="252"/>
      <c r="F37" s="252"/>
      <c r="G37" s="252"/>
      <c r="H37" s="252"/>
      <c r="I37" s="252"/>
      <c r="J37" s="252"/>
      <c r="K37" s="252"/>
      <c r="L37" s="252"/>
      <c r="M37" s="252"/>
      <c r="N37" s="294">
        <f>'Pass 3 Tail (D)'!B21</f>
        <v>79.432010836497</v>
      </c>
      <c r="O37" s="295">
        <f>O36+J24</f>
        <v>95.77095890255161</v>
      </c>
    </row>
    <row r="38" spans="2:13" ht="12.75">
      <c r="B38" s="252"/>
      <c r="C38" s="252"/>
      <c r="D38" s="293"/>
      <c r="E38" s="252"/>
      <c r="F38" s="252"/>
      <c r="G38" s="252"/>
      <c r="H38" s="252"/>
      <c r="I38" s="252"/>
      <c r="J38" s="252"/>
      <c r="K38" s="252"/>
      <c r="L38" s="252"/>
      <c r="M38" s="252"/>
    </row>
    <row r="39" spans="2:13" ht="12.75">
      <c r="B39" s="252"/>
      <c r="C39" s="252"/>
      <c r="D39" s="293"/>
      <c r="E39" s="252"/>
      <c r="F39" s="252"/>
      <c r="G39" s="252"/>
      <c r="H39" s="252"/>
      <c r="I39" s="252"/>
      <c r="J39" s="252"/>
      <c r="K39" s="252"/>
      <c r="L39" s="252"/>
      <c r="M39" s="252"/>
    </row>
    <row r="40" spans="2:13" ht="12.75">
      <c r="B40" s="252"/>
      <c r="C40" s="252"/>
      <c r="D40" s="293"/>
      <c r="E40" s="252"/>
      <c r="F40" s="252"/>
      <c r="G40" s="252"/>
      <c r="H40" s="252"/>
      <c r="I40" s="252"/>
      <c r="J40" s="252"/>
      <c r="K40" s="252"/>
      <c r="L40" s="252"/>
      <c r="M40" s="252"/>
    </row>
    <row r="41" spans="2:13" ht="12.75">
      <c r="B41" s="252"/>
      <c r="C41" s="252"/>
      <c r="D41" s="293"/>
      <c r="E41" s="252"/>
      <c r="F41" s="252"/>
      <c r="G41" s="252"/>
      <c r="H41" s="252"/>
      <c r="I41" s="252"/>
      <c r="J41" s="252"/>
      <c r="K41" s="252"/>
      <c r="L41" s="252"/>
      <c r="M41" s="252"/>
    </row>
    <row r="42" spans="2:13" ht="12.75">
      <c r="B42" s="252"/>
      <c r="C42" s="252"/>
      <c r="D42" s="293"/>
      <c r="E42" s="252"/>
      <c r="F42" s="252"/>
      <c r="G42" s="252"/>
      <c r="H42" s="252"/>
      <c r="I42" s="252"/>
      <c r="J42" s="252"/>
      <c r="K42" s="252"/>
      <c r="L42" s="252"/>
      <c r="M42" s="296"/>
    </row>
    <row r="43" spans="2:13" ht="12.75">
      <c r="B43" s="252"/>
      <c r="C43" s="252"/>
      <c r="D43" s="293"/>
      <c r="E43" s="252"/>
      <c r="F43" s="252"/>
      <c r="G43" s="252"/>
      <c r="H43" s="252"/>
      <c r="I43" s="252"/>
      <c r="J43" s="252"/>
      <c r="K43" s="252"/>
      <c r="L43" s="252"/>
      <c r="M43" s="252"/>
    </row>
    <row r="44" spans="2:13" ht="12.75">
      <c r="B44" s="252"/>
      <c r="C44" s="252"/>
      <c r="D44" s="293"/>
      <c r="E44" s="252"/>
      <c r="F44" s="252"/>
      <c r="G44" s="252"/>
      <c r="H44" s="252"/>
      <c r="I44" s="252"/>
      <c r="J44" s="252"/>
      <c r="K44" s="252"/>
      <c r="L44" s="252"/>
      <c r="M44" s="252"/>
    </row>
    <row r="45" spans="2:15" ht="12.75">
      <c r="B45" s="252"/>
      <c r="C45" s="252"/>
      <c r="D45" s="293"/>
      <c r="E45" s="252"/>
      <c r="F45" s="252"/>
      <c r="G45" s="252"/>
      <c r="H45" s="252"/>
      <c r="I45" s="252"/>
      <c r="J45" s="252"/>
      <c r="K45" s="252"/>
      <c r="L45" s="252"/>
      <c r="M45" s="292"/>
      <c r="N45" s="295"/>
      <c r="O45" s="294"/>
    </row>
    <row r="46" spans="2:13" ht="12.75">
      <c r="B46" s="252"/>
      <c r="C46" s="252"/>
      <c r="D46" s="293"/>
      <c r="E46" s="252"/>
      <c r="F46" s="252"/>
      <c r="G46" s="252"/>
      <c r="H46" s="252"/>
      <c r="I46" s="252"/>
      <c r="J46" s="252"/>
      <c r="K46" s="252"/>
      <c r="L46" s="252"/>
      <c r="M46" s="252"/>
    </row>
    <row r="47" spans="2:13" ht="12.75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</row>
    <row r="48" spans="2:13" ht="13.5" thickBot="1">
      <c r="B48" s="293" t="s">
        <v>23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</row>
    <row r="49" spans="2:15" ht="13.5" thickBot="1">
      <c r="B49" s="252"/>
      <c r="C49" s="252"/>
      <c r="D49" s="490" t="s">
        <v>87</v>
      </c>
      <c r="E49" s="483"/>
      <c r="F49" s="483"/>
      <c r="G49" s="491"/>
      <c r="H49" s="490" t="s">
        <v>88</v>
      </c>
      <c r="I49" s="483"/>
      <c r="J49" s="483"/>
      <c r="K49" s="491"/>
      <c r="L49" s="252"/>
      <c r="M49" s="252"/>
      <c r="O49" s="477" t="s">
        <v>82</v>
      </c>
    </row>
    <row r="50" spans="2:20" ht="12.75">
      <c r="B50" s="486" t="s">
        <v>24</v>
      </c>
      <c r="C50" s="487"/>
      <c r="D50" s="488" t="s">
        <v>25</v>
      </c>
      <c r="E50" s="489"/>
      <c r="F50" s="297" t="s">
        <v>9</v>
      </c>
      <c r="G50" s="298" t="s">
        <v>26</v>
      </c>
      <c r="H50" s="488" t="s">
        <v>27</v>
      </c>
      <c r="I50" s="489"/>
      <c r="J50" s="297" t="s">
        <v>9</v>
      </c>
      <c r="K50" s="298" t="s">
        <v>26</v>
      </c>
      <c r="L50" s="486" t="s">
        <v>92</v>
      </c>
      <c r="M50" s="487"/>
      <c r="O50" s="478"/>
      <c r="S50" s="185" t="s">
        <v>28</v>
      </c>
      <c r="T50" s="185" t="s">
        <v>29</v>
      </c>
    </row>
    <row r="51" spans="2:20" ht="51">
      <c r="B51" s="299" t="s">
        <v>30</v>
      </c>
      <c r="C51" s="300" t="s">
        <v>31</v>
      </c>
      <c r="D51" s="299" t="s">
        <v>32</v>
      </c>
      <c r="E51" s="301" t="s">
        <v>13</v>
      </c>
      <c r="F51" s="302" t="s">
        <v>33</v>
      </c>
      <c r="G51" s="303" t="s">
        <v>13</v>
      </c>
      <c r="H51" s="299" t="s">
        <v>32</v>
      </c>
      <c r="I51" s="301" t="s">
        <v>13</v>
      </c>
      <c r="J51" s="302" t="s">
        <v>33</v>
      </c>
      <c r="K51" s="303" t="s">
        <v>13</v>
      </c>
      <c r="L51" s="304" t="s">
        <v>93</v>
      </c>
      <c r="M51" s="305" t="s">
        <v>94</v>
      </c>
      <c r="O51" s="478"/>
      <c r="S51" s="185" t="s">
        <v>34</v>
      </c>
      <c r="T51" s="185" t="s">
        <v>34</v>
      </c>
    </row>
    <row r="52" spans="2:15" ht="12.75">
      <c r="B52" s="306"/>
      <c r="C52" s="307"/>
      <c r="D52" s="306"/>
      <c r="E52" s="308"/>
      <c r="F52" s="309"/>
      <c r="G52" s="310"/>
      <c r="H52" s="306"/>
      <c r="I52" s="311"/>
      <c r="J52" s="309"/>
      <c r="K52" s="310"/>
      <c r="L52" s="312"/>
      <c r="M52" s="313"/>
      <c r="O52" s="478"/>
    </row>
    <row r="53" spans="2:20" ht="12.75">
      <c r="B53" s="306">
        <v>28</v>
      </c>
      <c r="C53" s="307">
        <v>600</v>
      </c>
      <c r="D53" s="314">
        <v>27.1</v>
      </c>
      <c r="E53" s="315">
        <f aca="true" t="shared" si="3" ref="E53:E63">D53/D$65%</f>
        <v>29.424538545059722</v>
      </c>
      <c r="F53" s="316">
        <v>34791.19</v>
      </c>
      <c r="G53" s="321">
        <f aca="true" t="shared" si="4" ref="G53:G63">S53/S$65%</f>
        <v>34.80069719090815</v>
      </c>
      <c r="H53" s="475">
        <f>O53*H$65/O$65</f>
        <v>4419.220458715597</v>
      </c>
      <c r="I53" s="319">
        <f>H53/H$65%</f>
        <v>24.984709480122323</v>
      </c>
      <c r="J53" s="371">
        <v>29.33</v>
      </c>
      <c r="K53" s="321">
        <f>T53/T$65%</f>
        <v>14.989193130668069</v>
      </c>
      <c r="L53" s="322">
        <f>S53/SUM(S53:T53)%</f>
        <v>87.91413195489733</v>
      </c>
      <c r="M53" s="327">
        <f>S53/SUM(S$65:T$65)%</f>
        <v>26.38065276799506</v>
      </c>
      <c r="O53" s="326">
        <v>81.7</v>
      </c>
      <c r="S53" s="185">
        <f>D53*F53</f>
        <v>942841.2490000001</v>
      </c>
      <c r="T53" s="185">
        <f>H53*J53</f>
        <v>129615.73605412844</v>
      </c>
    </row>
    <row r="54" spans="2:20" ht="12.75">
      <c r="B54" s="306">
        <v>35</v>
      </c>
      <c r="C54" s="307">
        <v>425</v>
      </c>
      <c r="D54" s="324">
        <v>21.2</v>
      </c>
      <c r="E54" s="315">
        <f t="shared" si="3"/>
        <v>23.01845819761129</v>
      </c>
      <c r="F54" s="316">
        <v>30812.54</v>
      </c>
      <c r="G54" s="321">
        <f t="shared" si="4"/>
        <v>24.110861672241278</v>
      </c>
      <c r="H54" s="475">
        <f aca="true" t="shared" si="5" ref="H54:H63">O54*H$65/O$65</f>
        <v>3780.948715596331</v>
      </c>
      <c r="I54" s="319">
        <f aca="true" t="shared" si="6" ref="I54:I63">H54/H$65%</f>
        <v>21.37614678899083</v>
      </c>
      <c r="J54" s="371">
        <v>53.7</v>
      </c>
      <c r="K54" s="321">
        <f aca="true" t="shared" si="7" ref="K54:K63">T54/T$65%</f>
        <v>23.479865094440715</v>
      </c>
      <c r="L54" s="325">
        <f>S54/SUM(S54:T54)%</f>
        <v>76.28801024128151</v>
      </c>
      <c r="M54" s="327">
        <f aca="true" t="shared" si="8" ref="M54:M61">S54/SUM(S$65:T$65)%</f>
        <v>18.277227787227538</v>
      </c>
      <c r="O54" s="326">
        <v>69.9</v>
      </c>
      <c r="S54" s="185">
        <f aca="true" t="shared" si="9" ref="S54:S63">D54*F54</f>
        <v>653225.848</v>
      </c>
      <c r="T54" s="185">
        <f aca="true" t="shared" si="10" ref="T54:T63">H54*J54</f>
        <v>203036.946027523</v>
      </c>
    </row>
    <row r="55" spans="2:20" ht="12.75">
      <c r="B55" s="306">
        <v>48</v>
      </c>
      <c r="C55" s="307">
        <v>300</v>
      </c>
      <c r="D55" s="314">
        <v>15.9</v>
      </c>
      <c r="E55" s="315">
        <f t="shared" si="3"/>
        <v>17.26384364820847</v>
      </c>
      <c r="F55" s="316">
        <v>21911.74</v>
      </c>
      <c r="G55" s="321">
        <f t="shared" si="4"/>
        <v>12.859478611746617</v>
      </c>
      <c r="H55" s="475">
        <f t="shared" si="5"/>
        <v>2645.041376146789</v>
      </c>
      <c r="I55" s="319">
        <f t="shared" si="6"/>
        <v>14.954128440366972</v>
      </c>
      <c r="J55" s="371">
        <v>63.6</v>
      </c>
      <c r="K55" s="321">
        <f t="shared" si="7"/>
        <v>19.454053712889756</v>
      </c>
      <c r="L55" s="322">
        <f>S55/SUM(S55:T55)%</f>
        <v>67.43753454812473</v>
      </c>
      <c r="M55" s="323">
        <f t="shared" si="8"/>
        <v>9.74812194632052</v>
      </c>
      <c r="O55" s="326">
        <v>48.9</v>
      </c>
      <c r="S55" s="185">
        <f t="shared" si="9"/>
        <v>348396.666</v>
      </c>
      <c r="T55" s="185">
        <f t="shared" si="10"/>
        <v>168224.6315229358</v>
      </c>
    </row>
    <row r="56" spans="2:20" ht="12.75">
      <c r="B56" s="306">
        <v>65</v>
      </c>
      <c r="C56" s="307">
        <v>212</v>
      </c>
      <c r="D56" s="329">
        <v>9.7</v>
      </c>
      <c r="E56" s="315">
        <f t="shared" si="3"/>
        <v>10.532030401737241</v>
      </c>
      <c r="F56" s="316">
        <v>19755.77</v>
      </c>
      <c r="G56" s="317">
        <f t="shared" si="4"/>
        <v>7.0731857899116015</v>
      </c>
      <c r="H56" s="475">
        <f t="shared" si="5"/>
        <v>1925.6333944954129</v>
      </c>
      <c r="I56" s="319">
        <f t="shared" si="6"/>
        <v>10.886850152905199</v>
      </c>
      <c r="J56" s="371">
        <v>61.8</v>
      </c>
      <c r="K56" s="321">
        <f t="shared" si="7"/>
        <v>13.762033444153289</v>
      </c>
      <c r="L56" s="322">
        <f aca="true" t="shared" si="11" ref="L56:L63">S56/SUM(S56:T56)%</f>
        <v>61.690054058966375</v>
      </c>
      <c r="M56" s="323">
        <f>S56/SUM(S$65:T$65)%</f>
        <v>5.36182528940609</v>
      </c>
      <c r="O56" s="326">
        <v>35.6</v>
      </c>
      <c r="S56" s="185">
        <f t="shared" si="9"/>
        <v>191630.96899999998</v>
      </c>
      <c r="T56" s="185">
        <f t="shared" si="10"/>
        <v>119004.14377981651</v>
      </c>
    </row>
    <row r="57" spans="2:20" ht="12.75">
      <c r="B57" s="306">
        <v>100</v>
      </c>
      <c r="C57" s="307">
        <v>150</v>
      </c>
      <c r="D57" s="329">
        <v>6.6</v>
      </c>
      <c r="E57" s="328">
        <f t="shared" si="3"/>
        <v>7.166123778501629</v>
      </c>
      <c r="F57" s="316">
        <v>24456.7</v>
      </c>
      <c r="G57" s="317">
        <f t="shared" si="4"/>
        <v>5.9578719094911285</v>
      </c>
      <c r="H57" s="475">
        <f t="shared" si="5"/>
        <v>1427.9977981651375</v>
      </c>
      <c r="I57" s="308">
        <f t="shared" si="6"/>
        <v>8.073394495412844</v>
      </c>
      <c r="J57" s="371">
        <v>56.3</v>
      </c>
      <c r="K57" s="317">
        <f t="shared" si="7"/>
        <v>9.297291711534996</v>
      </c>
      <c r="L57" s="322">
        <f t="shared" si="11"/>
        <v>66.75236296422125</v>
      </c>
      <c r="M57" s="323">
        <f t="shared" si="8"/>
        <v>4.516362106720644</v>
      </c>
      <c r="O57" s="326">
        <v>26.4</v>
      </c>
      <c r="S57" s="185">
        <f t="shared" si="9"/>
        <v>161414.22</v>
      </c>
      <c r="T57" s="185">
        <f t="shared" si="10"/>
        <v>80396.27603669724</v>
      </c>
    </row>
    <row r="58" spans="2:20" ht="12.75">
      <c r="B58" s="306">
        <v>150</v>
      </c>
      <c r="C58" s="307">
        <v>106</v>
      </c>
      <c r="D58" s="329">
        <v>4.6</v>
      </c>
      <c r="E58" s="328">
        <f t="shared" si="3"/>
        <v>4.9945711183496195</v>
      </c>
      <c r="F58" s="316">
        <v>29776.4</v>
      </c>
      <c r="G58" s="317">
        <f t="shared" si="4"/>
        <v>5.055677837916321</v>
      </c>
      <c r="H58" s="475">
        <f t="shared" si="5"/>
        <v>1000.6802752293578</v>
      </c>
      <c r="I58" s="308">
        <f t="shared" si="6"/>
        <v>5.657492354740061</v>
      </c>
      <c r="J58" s="371">
        <v>46.8</v>
      </c>
      <c r="K58" s="317">
        <f t="shared" si="7"/>
        <v>5.4157887694756175</v>
      </c>
      <c r="L58" s="322">
        <f t="shared" si="11"/>
        <v>74.52067358346275</v>
      </c>
      <c r="M58" s="323">
        <f t="shared" si="8"/>
        <v>3.832454298753606</v>
      </c>
      <c r="O58" s="326">
        <v>18.5</v>
      </c>
      <c r="S58" s="185">
        <f t="shared" si="9"/>
        <v>136971.44</v>
      </c>
      <c r="T58" s="185">
        <f t="shared" si="10"/>
        <v>46831.83688073394</v>
      </c>
    </row>
    <row r="59" spans="2:20" ht="12.75">
      <c r="B59" s="306">
        <v>200</v>
      </c>
      <c r="C59" s="307">
        <v>75</v>
      </c>
      <c r="D59" s="329">
        <v>3</v>
      </c>
      <c r="E59" s="328">
        <f t="shared" si="3"/>
        <v>3.257328990228013</v>
      </c>
      <c r="F59" s="316">
        <v>31562.68</v>
      </c>
      <c r="G59" s="317">
        <f t="shared" si="4"/>
        <v>3.4949784082268116</v>
      </c>
      <c r="H59" s="475">
        <f t="shared" si="5"/>
        <v>778.907889908257</v>
      </c>
      <c r="I59" s="308">
        <f t="shared" si="6"/>
        <v>4.4036697247706424</v>
      </c>
      <c r="J59" s="371">
        <v>40.9</v>
      </c>
      <c r="K59" s="317">
        <f t="shared" si="7"/>
        <v>3.6840874955767617</v>
      </c>
      <c r="L59" s="322">
        <f t="shared" si="11"/>
        <v>74.82536736174109</v>
      </c>
      <c r="M59" s="323">
        <f t="shared" si="8"/>
        <v>2.64936680185704</v>
      </c>
      <c r="O59" s="326">
        <v>14.4</v>
      </c>
      <c r="S59" s="185">
        <f t="shared" si="9"/>
        <v>94688.04000000001</v>
      </c>
      <c r="T59" s="185">
        <f t="shared" si="10"/>
        <v>31857.332697247708</v>
      </c>
    </row>
    <row r="60" spans="2:20" ht="12.75">
      <c r="B60" s="306">
        <v>270</v>
      </c>
      <c r="C60" s="307">
        <v>53</v>
      </c>
      <c r="D60" s="329">
        <v>1.9</v>
      </c>
      <c r="E60" s="328">
        <f t="shared" si="3"/>
        <v>2.0629750271444083</v>
      </c>
      <c r="F60" s="316">
        <v>35514.86</v>
      </c>
      <c r="G60" s="317">
        <f t="shared" si="4"/>
        <v>2.4906521547523455</v>
      </c>
      <c r="H60" s="475">
        <f t="shared" si="5"/>
        <v>459.7720183486239</v>
      </c>
      <c r="I60" s="308">
        <f t="shared" si="6"/>
        <v>2.599388379204893</v>
      </c>
      <c r="J60" s="371">
        <v>38.4</v>
      </c>
      <c r="K60" s="317">
        <f t="shared" si="7"/>
        <v>2.0417110814932338</v>
      </c>
      <c r="L60" s="322">
        <f t="shared" si="11"/>
        <v>79.26168928213974</v>
      </c>
      <c r="M60" s="323">
        <f t="shared" si="8"/>
        <v>1.8880377395871848</v>
      </c>
      <c r="O60" s="326">
        <v>8.5</v>
      </c>
      <c r="S60" s="185">
        <f t="shared" si="9"/>
        <v>67478.234</v>
      </c>
      <c r="T60" s="185">
        <f t="shared" si="10"/>
        <v>17655.245504587157</v>
      </c>
    </row>
    <row r="61" spans="2:20" ht="12.75">
      <c r="B61" s="306">
        <v>400</v>
      </c>
      <c r="C61" s="307">
        <v>38</v>
      </c>
      <c r="D61" s="329">
        <v>1</v>
      </c>
      <c r="E61" s="328">
        <f t="shared" si="3"/>
        <v>1.0857763300760044</v>
      </c>
      <c r="F61" s="316">
        <v>39559</v>
      </c>
      <c r="G61" s="317">
        <f t="shared" si="4"/>
        <v>1.460140592740587</v>
      </c>
      <c r="H61" s="475">
        <f t="shared" si="5"/>
        <v>346.1812844036698</v>
      </c>
      <c r="I61" s="308">
        <f t="shared" si="6"/>
        <v>1.9571865443425078</v>
      </c>
      <c r="J61" s="371">
        <v>39.8</v>
      </c>
      <c r="K61" s="317">
        <f t="shared" si="7"/>
        <v>1.5933353145770728</v>
      </c>
      <c r="L61" s="322">
        <f t="shared" si="11"/>
        <v>74.16800492405272</v>
      </c>
      <c r="M61" s="323">
        <f t="shared" si="8"/>
        <v>1.106858916022157</v>
      </c>
      <c r="O61" s="326">
        <v>6.4</v>
      </c>
      <c r="S61" s="185">
        <f t="shared" si="9"/>
        <v>39559</v>
      </c>
      <c r="T61" s="185">
        <f t="shared" si="10"/>
        <v>13778.015119266056</v>
      </c>
    </row>
    <row r="62" spans="2:20" ht="12.75">
      <c r="B62" s="306">
        <v>500</v>
      </c>
      <c r="C62" s="307">
        <v>25</v>
      </c>
      <c r="D62" s="329">
        <v>0.6</v>
      </c>
      <c r="E62" s="328">
        <f t="shared" si="3"/>
        <v>0.6514657980456027</v>
      </c>
      <c r="F62" s="316">
        <v>41820.75</v>
      </c>
      <c r="G62" s="317">
        <f t="shared" si="4"/>
        <v>0.9261736852881404</v>
      </c>
      <c r="H62" s="475">
        <f t="shared" si="5"/>
        <v>167.68155963302752</v>
      </c>
      <c r="I62" s="308">
        <f t="shared" si="6"/>
        <v>0.948012232415902</v>
      </c>
      <c r="J62" s="371">
        <v>49.8</v>
      </c>
      <c r="K62" s="317">
        <f t="shared" si="7"/>
        <v>0.9656843038018547</v>
      </c>
      <c r="L62" s="322">
        <f t="shared" si="11"/>
        <v>75.03051834538972</v>
      </c>
      <c r="M62" s="323">
        <f>S62/SUM(S$65:T$65)%</f>
        <v>0.7020855432983688</v>
      </c>
      <c r="O62" s="326">
        <v>3.1</v>
      </c>
      <c r="S62" s="185">
        <f t="shared" si="9"/>
        <v>25092.45</v>
      </c>
      <c r="T62" s="185">
        <f t="shared" si="10"/>
        <v>8350.54166972477</v>
      </c>
    </row>
    <row r="63" spans="2:20" ht="12.75">
      <c r="B63" s="330" t="s">
        <v>35</v>
      </c>
      <c r="C63" s="307">
        <v>-25</v>
      </c>
      <c r="D63" s="329">
        <v>0.5</v>
      </c>
      <c r="E63" s="328">
        <f t="shared" si="3"/>
        <v>0.5428881650380022</v>
      </c>
      <c r="F63" s="450">
        <v>95923.08</v>
      </c>
      <c r="G63" s="317">
        <f t="shared" si="4"/>
        <v>1.770282146777001</v>
      </c>
      <c r="H63" s="475">
        <f t="shared" si="5"/>
        <v>735.6352293577982</v>
      </c>
      <c r="I63" s="308">
        <f t="shared" si="6"/>
        <v>4.159021406727828</v>
      </c>
      <c r="J63" s="371">
        <v>62.5</v>
      </c>
      <c r="K63" s="317">
        <f t="shared" si="7"/>
        <v>5.316955941388629</v>
      </c>
      <c r="L63" s="325">
        <f t="shared" si="11"/>
        <v>51.05618732291834</v>
      </c>
      <c r="M63" s="323">
        <f>S63/SUM(S$65:T$65)%</f>
        <v>1.3419615808072327</v>
      </c>
      <c r="O63" s="326">
        <v>13.6</v>
      </c>
      <c r="S63" s="185">
        <f t="shared" si="9"/>
        <v>47961.54</v>
      </c>
      <c r="T63" s="185">
        <f t="shared" si="10"/>
        <v>45977.20183486238</v>
      </c>
    </row>
    <row r="64" spans="2:15" ht="12.75">
      <c r="B64" s="312"/>
      <c r="C64" s="331"/>
      <c r="D64" s="312"/>
      <c r="E64" s="332"/>
      <c r="F64" s="333"/>
      <c r="G64" s="334"/>
      <c r="H64" s="312"/>
      <c r="I64" s="332"/>
      <c r="J64" s="335"/>
      <c r="K64" s="334"/>
      <c r="L64" s="312"/>
      <c r="M64" s="327"/>
      <c r="O64" s="336"/>
    </row>
    <row r="65" spans="2:20" ht="13.5" thickBot="1">
      <c r="B65" s="337" t="s">
        <v>36</v>
      </c>
      <c r="C65" s="338"/>
      <c r="D65" s="342">
        <f>SUM(D53:D63)</f>
        <v>92.1</v>
      </c>
      <c r="E65" s="341">
        <f>SUM(E52:E63)</f>
        <v>100.00000000000001</v>
      </c>
      <c r="F65" s="461">
        <f>S65/D65</f>
        <v>29416.500065146585</v>
      </c>
      <c r="G65" s="463">
        <f>SUM(G52:G63)</f>
        <v>99.99999999999999</v>
      </c>
      <c r="H65" s="340">
        <f>H84+D84</f>
        <v>17687.7</v>
      </c>
      <c r="I65" s="341">
        <f>SUM(I52:I63)</f>
        <v>100</v>
      </c>
      <c r="J65" s="451">
        <f>T65/H65</f>
        <v>48.888657492354746</v>
      </c>
      <c r="K65" s="463">
        <f>SUM(K52:K63)</f>
        <v>99.99999999999999</v>
      </c>
      <c r="L65" s="342"/>
      <c r="M65" s="343">
        <f>SUM(M53:M63)</f>
        <v>75.80495477799545</v>
      </c>
      <c r="O65" s="460">
        <f>SUM(O52:O63)</f>
        <v>327</v>
      </c>
      <c r="S65" s="185">
        <f>SUM(S53:S63)</f>
        <v>2709259.6560000004</v>
      </c>
      <c r="T65" s="185">
        <f>SUM(T53:T63)</f>
        <v>864727.9071275231</v>
      </c>
    </row>
    <row r="66" spans="2:13" ht="12.75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92"/>
    </row>
    <row r="67" spans="2:13" ht="13.5" customHeight="1" thickBot="1">
      <c r="B67" s="293" t="s">
        <v>37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92"/>
    </row>
    <row r="68" spans="2:15" ht="13.5" thickBot="1">
      <c r="B68" s="252"/>
      <c r="C68" s="252"/>
      <c r="D68" s="490" t="s">
        <v>85</v>
      </c>
      <c r="E68" s="483"/>
      <c r="F68" s="483"/>
      <c r="G68" s="491"/>
      <c r="H68" s="490" t="s">
        <v>86</v>
      </c>
      <c r="I68" s="483"/>
      <c r="J68" s="483"/>
      <c r="K68" s="491"/>
      <c r="L68" s="252"/>
      <c r="M68" s="292"/>
      <c r="O68" s="479" t="s">
        <v>81</v>
      </c>
    </row>
    <row r="69" spans="2:20" ht="12.75">
      <c r="B69" s="486" t="s">
        <v>24</v>
      </c>
      <c r="C69" s="487"/>
      <c r="D69" s="488" t="s">
        <v>38</v>
      </c>
      <c r="E69" s="489"/>
      <c r="F69" s="297" t="s">
        <v>9</v>
      </c>
      <c r="G69" s="298" t="s">
        <v>26</v>
      </c>
      <c r="H69" s="488" t="s">
        <v>39</v>
      </c>
      <c r="I69" s="489"/>
      <c r="J69" s="297" t="s">
        <v>9</v>
      </c>
      <c r="K69" s="298" t="s">
        <v>26</v>
      </c>
      <c r="L69" s="486" t="s">
        <v>92</v>
      </c>
      <c r="M69" s="487"/>
      <c r="O69" s="480"/>
      <c r="S69" s="185" t="s">
        <v>28</v>
      </c>
      <c r="T69" s="185" t="s">
        <v>29</v>
      </c>
    </row>
    <row r="70" spans="2:20" ht="51">
      <c r="B70" s="299" t="s">
        <v>30</v>
      </c>
      <c r="C70" s="300" t="s">
        <v>31</v>
      </c>
      <c r="D70" s="299" t="s">
        <v>32</v>
      </c>
      <c r="E70" s="301" t="s">
        <v>13</v>
      </c>
      <c r="F70" s="302" t="s">
        <v>33</v>
      </c>
      <c r="G70" s="303" t="s">
        <v>13</v>
      </c>
      <c r="H70" s="299" t="s">
        <v>32</v>
      </c>
      <c r="I70" s="301" t="s">
        <v>13</v>
      </c>
      <c r="J70" s="302" t="s">
        <v>33</v>
      </c>
      <c r="K70" s="303" t="s">
        <v>13</v>
      </c>
      <c r="L70" s="304" t="s">
        <v>93</v>
      </c>
      <c r="M70" s="305" t="s">
        <v>94</v>
      </c>
      <c r="O70" s="480"/>
      <c r="S70" s="185" t="s">
        <v>34</v>
      </c>
      <c r="T70" s="185" t="s">
        <v>34</v>
      </c>
    </row>
    <row r="71" spans="2:15" ht="12.75">
      <c r="B71" s="306"/>
      <c r="C71" s="307"/>
      <c r="D71" s="306"/>
      <c r="E71" s="308"/>
      <c r="F71" s="309"/>
      <c r="G71" s="310"/>
      <c r="H71" s="306"/>
      <c r="I71" s="311"/>
      <c r="J71" s="309"/>
      <c r="K71" s="310"/>
      <c r="L71" s="312"/>
      <c r="M71" s="344"/>
      <c r="O71" s="480"/>
    </row>
    <row r="72" spans="2:20" ht="12.75">
      <c r="B72" s="306">
        <v>28</v>
      </c>
      <c r="C72" s="307">
        <v>600</v>
      </c>
      <c r="D72" s="329"/>
      <c r="E72" s="328"/>
      <c r="F72" s="320"/>
      <c r="G72" s="317"/>
      <c r="H72" s="345"/>
      <c r="I72" s="308"/>
      <c r="J72" s="346"/>
      <c r="K72" s="317"/>
      <c r="L72" s="347"/>
      <c r="M72" s="323"/>
      <c r="O72" s="348">
        <v>0</v>
      </c>
      <c r="S72" s="185">
        <f aca="true" t="shared" si="12" ref="S72:S82">D72*F72</f>
        <v>0</v>
      </c>
      <c r="T72" s="185">
        <f aca="true" t="shared" si="13" ref="T72:T82">H72*J72</f>
        <v>0</v>
      </c>
    </row>
    <row r="73" spans="2:20" ht="12.75">
      <c r="B73" s="306">
        <v>35</v>
      </c>
      <c r="C73" s="307">
        <v>425</v>
      </c>
      <c r="D73" s="329"/>
      <c r="E73" s="328"/>
      <c r="F73" s="346"/>
      <c r="G73" s="317"/>
      <c r="H73" s="345"/>
      <c r="I73" s="308"/>
      <c r="J73" s="346"/>
      <c r="K73" s="317"/>
      <c r="L73" s="347"/>
      <c r="M73" s="323"/>
      <c r="O73" s="348">
        <v>0</v>
      </c>
      <c r="S73" s="185">
        <f t="shared" si="12"/>
        <v>0</v>
      </c>
      <c r="T73" s="185">
        <f t="shared" si="13"/>
        <v>0</v>
      </c>
    </row>
    <row r="74" spans="2:20" ht="12.75">
      <c r="B74" s="306">
        <v>48</v>
      </c>
      <c r="C74" s="307">
        <v>300</v>
      </c>
      <c r="D74" s="329">
        <v>5.6</v>
      </c>
      <c r="E74" s="328">
        <f aca="true" t="shared" si="14" ref="E74:E82">D74/D$84%</f>
        <v>7.244501940491593</v>
      </c>
      <c r="F74" s="454">
        <v>48307.35</v>
      </c>
      <c r="G74" s="350">
        <f aca="true" t="shared" si="15" ref="G74:G82">S74/S$84%</f>
        <v>31.44514892768183</v>
      </c>
      <c r="H74" s="476">
        <f aca="true" t="shared" si="16" ref="H74:H82">O74*H$84/O$84</f>
        <v>586.4439702554156</v>
      </c>
      <c r="I74" s="308">
        <f aca="true" t="shared" si="17" ref="I74:I82">H74/H$84%</f>
        <v>3.3301002263174917</v>
      </c>
      <c r="J74" s="320">
        <v>2.29</v>
      </c>
      <c r="K74" s="317">
        <f aca="true" t="shared" si="18" ref="K74:K82">T74/T$84%</f>
        <v>0.37057828091081163</v>
      </c>
      <c r="L74" s="347">
        <f>S74/SUM(S74:T74)%</f>
        <v>99.50601914359778</v>
      </c>
      <c r="M74" s="327">
        <f aca="true" t="shared" si="19" ref="M74:M82">S74/SUM(S$84:T$84)%</f>
        <v>22.12507719642559</v>
      </c>
      <c r="O74" s="326">
        <v>10.3</v>
      </c>
      <c r="S74" s="185">
        <f t="shared" si="12"/>
        <v>270521.16</v>
      </c>
      <c r="T74" s="185">
        <f t="shared" si="13"/>
        <v>1342.9566918849018</v>
      </c>
    </row>
    <row r="75" spans="2:20" ht="12.75">
      <c r="B75" s="306">
        <v>65</v>
      </c>
      <c r="C75" s="307">
        <v>212</v>
      </c>
      <c r="D75" s="324">
        <v>18.4</v>
      </c>
      <c r="E75" s="315">
        <f t="shared" si="14"/>
        <v>23.80336351875809</v>
      </c>
      <c r="F75" s="454">
        <v>11648.82</v>
      </c>
      <c r="G75" s="350">
        <f t="shared" si="15"/>
        <v>24.914499801288592</v>
      </c>
      <c r="H75" s="476">
        <f t="shared" si="16"/>
        <v>2476.729388942774</v>
      </c>
      <c r="I75" s="319">
        <f t="shared" si="17"/>
        <v>14.064015518913676</v>
      </c>
      <c r="J75" s="371">
        <v>15.5</v>
      </c>
      <c r="K75" s="321">
        <f t="shared" si="18"/>
        <v>10.593225331924987</v>
      </c>
      <c r="L75" s="347">
        <f aca="true" t="shared" si="20" ref="L75:L82">S75/SUM(S75:T75)%</f>
        <v>84.81000630258971</v>
      </c>
      <c r="M75" s="327">
        <f t="shared" si="19"/>
        <v>17.530056311120727</v>
      </c>
      <c r="O75" s="326">
        <v>43.5</v>
      </c>
      <c r="S75" s="185">
        <f t="shared" si="12"/>
        <v>214338.28799999997</v>
      </c>
      <c r="T75" s="185">
        <f t="shared" si="13"/>
        <v>38389.305528613004</v>
      </c>
    </row>
    <row r="76" spans="2:20" ht="12.75">
      <c r="B76" s="306">
        <v>100</v>
      </c>
      <c r="C76" s="307">
        <v>150</v>
      </c>
      <c r="D76" s="314">
        <v>18.5</v>
      </c>
      <c r="E76" s="315">
        <f t="shared" si="14"/>
        <v>23.9327296248383</v>
      </c>
      <c r="F76" s="454">
        <v>7427.77</v>
      </c>
      <c r="G76" s="350">
        <f t="shared" si="15"/>
        <v>15.97285652714004</v>
      </c>
      <c r="H76" s="476">
        <f t="shared" si="16"/>
        <v>3575.6001293242816</v>
      </c>
      <c r="I76" s="319">
        <f t="shared" si="17"/>
        <v>20.303912059489175</v>
      </c>
      <c r="J76" s="371">
        <v>21.8</v>
      </c>
      <c r="K76" s="321">
        <f t="shared" si="18"/>
        <v>21.509157150046107</v>
      </c>
      <c r="L76" s="347">
        <f t="shared" si="20"/>
        <v>63.80598938606567</v>
      </c>
      <c r="M76" s="327">
        <f t="shared" si="19"/>
        <v>11.238639210237531</v>
      </c>
      <c r="O76" s="326">
        <v>62.8</v>
      </c>
      <c r="S76" s="185">
        <f t="shared" si="12"/>
        <v>137413.745</v>
      </c>
      <c r="T76" s="185">
        <f t="shared" si="13"/>
        <v>77948.08281926934</v>
      </c>
    </row>
    <row r="77" spans="2:20" ht="12.75">
      <c r="B77" s="306">
        <v>150</v>
      </c>
      <c r="C77" s="307">
        <v>106</v>
      </c>
      <c r="D77" s="314">
        <v>12.6</v>
      </c>
      <c r="E77" s="315">
        <f t="shared" si="14"/>
        <v>16.300129366106084</v>
      </c>
      <c r="F77" s="454">
        <v>6494.02</v>
      </c>
      <c r="G77" s="349">
        <f t="shared" si="15"/>
        <v>9.51122776530952</v>
      </c>
      <c r="H77" s="476">
        <f t="shared" si="16"/>
        <v>2994.849789848045</v>
      </c>
      <c r="I77" s="319">
        <f t="shared" si="17"/>
        <v>17.006142903330105</v>
      </c>
      <c r="J77" s="371">
        <v>21.4</v>
      </c>
      <c r="K77" s="321">
        <f t="shared" si="18"/>
        <v>17.685069577498027</v>
      </c>
      <c r="L77" s="347">
        <f t="shared" si="20"/>
        <v>56.0771458948049</v>
      </c>
      <c r="M77" s="323">
        <f t="shared" si="19"/>
        <v>6.692181646976006</v>
      </c>
      <c r="O77" s="326">
        <v>52.6</v>
      </c>
      <c r="S77" s="185">
        <f t="shared" si="12"/>
        <v>81824.652</v>
      </c>
      <c r="T77" s="185">
        <f t="shared" si="13"/>
        <v>64089.78550274816</v>
      </c>
    </row>
    <row r="78" spans="2:20" ht="12.75">
      <c r="B78" s="306">
        <v>200</v>
      </c>
      <c r="C78" s="307">
        <v>75</v>
      </c>
      <c r="D78" s="329">
        <v>9.5</v>
      </c>
      <c r="E78" s="315">
        <f t="shared" si="14"/>
        <v>12.289780077619668</v>
      </c>
      <c r="F78" s="454">
        <v>6571.9</v>
      </c>
      <c r="G78" s="349">
        <f t="shared" si="15"/>
        <v>7.257164486724093</v>
      </c>
      <c r="H78" s="476">
        <f t="shared" si="16"/>
        <v>2328.6949886841257</v>
      </c>
      <c r="I78" s="319">
        <f t="shared" si="17"/>
        <v>13.223407694794698</v>
      </c>
      <c r="J78" s="371">
        <v>21.3</v>
      </c>
      <c r="K78" s="321">
        <f t="shared" si="18"/>
        <v>13.687059862681634</v>
      </c>
      <c r="L78" s="347">
        <f t="shared" si="20"/>
        <v>55.72675158166439</v>
      </c>
      <c r="M78" s="323">
        <f t="shared" si="19"/>
        <v>5.106203340464378</v>
      </c>
      <c r="O78" s="326">
        <v>40.9</v>
      </c>
      <c r="S78" s="185">
        <f t="shared" si="12"/>
        <v>62433.049999999996</v>
      </c>
      <c r="T78" s="185">
        <f t="shared" si="13"/>
        <v>49601.20325897188</v>
      </c>
    </row>
    <row r="79" spans="2:20" ht="12.75">
      <c r="B79" s="306">
        <v>270</v>
      </c>
      <c r="C79" s="307">
        <v>53</v>
      </c>
      <c r="D79" s="329">
        <v>5.6</v>
      </c>
      <c r="E79" s="328">
        <f t="shared" si="14"/>
        <v>7.244501940491593</v>
      </c>
      <c r="F79" s="454">
        <v>6723.55</v>
      </c>
      <c r="G79" s="349">
        <f t="shared" si="15"/>
        <v>4.376622420246923</v>
      </c>
      <c r="H79" s="476">
        <f t="shared" si="16"/>
        <v>1554.3612027158104</v>
      </c>
      <c r="I79" s="308">
        <f t="shared" si="17"/>
        <v>8.826382153249275</v>
      </c>
      <c r="J79" s="371">
        <v>19.3</v>
      </c>
      <c r="K79" s="317">
        <f t="shared" si="18"/>
        <v>8.278034104765233</v>
      </c>
      <c r="L79" s="347">
        <f t="shared" si="20"/>
        <v>55.65601616710757</v>
      </c>
      <c r="M79" s="323">
        <f t="shared" si="19"/>
        <v>3.0794291714206485</v>
      </c>
      <c r="O79" s="326">
        <v>27.3</v>
      </c>
      <c r="S79" s="185">
        <f t="shared" si="12"/>
        <v>37651.88</v>
      </c>
      <c r="T79" s="185">
        <f t="shared" si="13"/>
        <v>29999.17121241514</v>
      </c>
    </row>
    <row r="80" spans="2:20" ht="12.75">
      <c r="B80" s="306">
        <v>400</v>
      </c>
      <c r="C80" s="307">
        <v>38</v>
      </c>
      <c r="D80" s="329">
        <v>4.3</v>
      </c>
      <c r="E80" s="328">
        <f t="shared" si="14"/>
        <v>5.562742561448902</v>
      </c>
      <c r="F80" s="454">
        <v>6721.88</v>
      </c>
      <c r="G80" s="349">
        <f t="shared" si="15"/>
        <v>3.3597860736595453</v>
      </c>
      <c r="H80" s="476">
        <f t="shared" si="16"/>
        <v>1155.8070481732948</v>
      </c>
      <c r="I80" s="308">
        <f t="shared" si="17"/>
        <v>6.5632072421597165</v>
      </c>
      <c r="J80" s="371">
        <v>21.7</v>
      </c>
      <c r="K80" s="317">
        <f t="shared" si="18"/>
        <v>6.9209072168576595</v>
      </c>
      <c r="L80" s="347">
        <f t="shared" si="20"/>
        <v>53.540857820917616</v>
      </c>
      <c r="M80" s="323">
        <f t="shared" si="19"/>
        <v>2.3639743737309487</v>
      </c>
      <c r="O80" s="326">
        <v>20.3</v>
      </c>
      <c r="S80" s="185">
        <f t="shared" si="12"/>
        <v>28904.084</v>
      </c>
      <c r="T80" s="185">
        <f t="shared" si="13"/>
        <v>25081.012945360497</v>
      </c>
    </row>
    <row r="81" spans="2:20" ht="12.75">
      <c r="B81" s="306">
        <v>500</v>
      </c>
      <c r="C81" s="307">
        <v>25</v>
      </c>
      <c r="D81" s="329">
        <v>2.1</v>
      </c>
      <c r="E81" s="328">
        <f t="shared" si="14"/>
        <v>2.7166882276843474</v>
      </c>
      <c r="F81" s="454">
        <v>8470.95</v>
      </c>
      <c r="G81" s="349">
        <f t="shared" si="15"/>
        <v>2.0677776076695356</v>
      </c>
      <c r="H81" s="476">
        <f t="shared" si="16"/>
        <v>723.0911089557065</v>
      </c>
      <c r="I81" s="308">
        <f t="shared" si="17"/>
        <v>4.106045910119625</v>
      </c>
      <c r="J81" s="371">
        <v>21.1</v>
      </c>
      <c r="K81" s="317">
        <f t="shared" si="18"/>
        <v>4.210109888314333</v>
      </c>
      <c r="L81" s="347">
        <f t="shared" si="20"/>
        <v>53.83065415697752</v>
      </c>
      <c r="M81" s="323">
        <f t="shared" si="19"/>
        <v>1.4549061065013507</v>
      </c>
      <c r="O81" s="326">
        <v>12.7</v>
      </c>
      <c r="S81" s="185">
        <f t="shared" si="12"/>
        <v>17788.995000000003</v>
      </c>
      <c r="T81" s="185">
        <f t="shared" si="13"/>
        <v>15257.222398965409</v>
      </c>
    </row>
    <row r="82" spans="2:20" ht="12.75">
      <c r="B82" s="330" t="s">
        <v>35</v>
      </c>
      <c r="C82" s="307">
        <v>-25</v>
      </c>
      <c r="D82" s="329">
        <v>0.7</v>
      </c>
      <c r="E82" s="328">
        <f t="shared" si="14"/>
        <v>0.9055627425614491</v>
      </c>
      <c r="F82" s="454">
        <v>13456.45</v>
      </c>
      <c r="G82" s="349">
        <f t="shared" si="15"/>
        <v>1.0949163902799062</v>
      </c>
      <c r="H82" s="476">
        <f t="shared" si="16"/>
        <v>2214.82237310055</v>
      </c>
      <c r="I82" s="319">
        <f t="shared" si="17"/>
        <v>12.576786291626254</v>
      </c>
      <c r="J82" s="371">
        <v>27.4</v>
      </c>
      <c r="K82" s="321">
        <f t="shared" si="18"/>
        <v>16.745858587001212</v>
      </c>
      <c r="L82" s="347">
        <f t="shared" si="20"/>
        <v>13.43617135799917</v>
      </c>
      <c r="M82" s="323">
        <f t="shared" si="19"/>
        <v>0.7703925878770029</v>
      </c>
      <c r="O82" s="326">
        <v>38.9</v>
      </c>
      <c r="S82" s="185">
        <f t="shared" si="12"/>
        <v>9419.515</v>
      </c>
      <c r="T82" s="185">
        <f t="shared" si="13"/>
        <v>60686.133022955066</v>
      </c>
    </row>
    <row r="83" spans="2:15" ht="12.75">
      <c r="B83" s="312"/>
      <c r="C83" s="331"/>
      <c r="D83" s="351"/>
      <c r="E83" s="352"/>
      <c r="F83" s="353"/>
      <c r="G83" s="354"/>
      <c r="H83" s="312"/>
      <c r="I83" s="332"/>
      <c r="J83" s="355"/>
      <c r="K83" s="334"/>
      <c r="L83" s="312"/>
      <c r="M83" s="327"/>
      <c r="O83" s="336"/>
    </row>
    <row r="84" spans="2:20" ht="13.5" thickBot="1">
      <c r="B84" s="337" t="s">
        <v>36</v>
      </c>
      <c r="C84" s="338"/>
      <c r="D84" s="356">
        <f>SUM(D72:D82)</f>
        <v>77.29999999999998</v>
      </c>
      <c r="E84" s="465">
        <f>SUM(E71:E82)</f>
        <v>100.00000000000001</v>
      </c>
      <c r="F84" s="462">
        <f>S84/D84</f>
        <v>11129.306196636484</v>
      </c>
      <c r="G84" s="464">
        <f>SUM(G71:G82)</f>
        <v>99.99999999999999</v>
      </c>
      <c r="H84" s="340">
        <f>H100+D100</f>
        <v>17610.4</v>
      </c>
      <c r="I84" s="341">
        <f>SUM(I71:I82)</f>
        <v>100</v>
      </c>
      <c r="J84" s="451">
        <f>T84/H84</f>
        <v>20.578457807953445</v>
      </c>
      <c r="K84" s="463">
        <f>SUM(K71:K82)</f>
        <v>100</v>
      </c>
      <c r="L84" s="342"/>
      <c r="M84" s="343">
        <f>SUM(M72:M82)</f>
        <v>70.36085994475418</v>
      </c>
      <c r="O84" s="460">
        <f>SUM(O71:O82)</f>
        <v>309.29999999999995</v>
      </c>
      <c r="S84" s="185">
        <f>SUM(S72:S82)</f>
        <v>860295.3690000001</v>
      </c>
      <c r="T84" s="185">
        <f>SUM(T72:T82)</f>
        <v>362394.87338118337</v>
      </c>
    </row>
    <row r="85" spans="2:13" ht="13.5" thickBot="1">
      <c r="B85" s="252"/>
      <c r="C85" s="252"/>
      <c r="D85" s="358"/>
      <c r="E85" s="358"/>
      <c r="F85" s="358"/>
      <c r="G85" s="358"/>
      <c r="H85" s="252"/>
      <c r="I85" s="252"/>
      <c r="J85" s="252"/>
      <c r="K85" s="252"/>
      <c r="L85" s="252"/>
      <c r="M85" s="292"/>
    </row>
    <row r="86" spans="2:15" ht="13.5" thickBot="1">
      <c r="B86" s="293" t="s">
        <v>40</v>
      </c>
      <c r="C86" s="252"/>
      <c r="D86" s="358"/>
      <c r="E86" s="358"/>
      <c r="F86" s="358"/>
      <c r="G86" s="358"/>
      <c r="H86" s="252"/>
      <c r="I86" s="252"/>
      <c r="J86" s="252"/>
      <c r="K86" s="252"/>
      <c r="L86" s="252"/>
      <c r="M86" s="292"/>
      <c r="O86" s="479" t="s">
        <v>80</v>
      </c>
    </row>
    <row r="87" spans="2:15" ht="13.5" thickBot="1">
      <c r="B87" s="252"/>
      <c r="C87" s="252"/>
      <c r="D87" s="490" t="s">
        <v>83</v>
      </c>
      <c r="E87" s="483"/>
      <c r="F87" s="483"/>
      <c r="G87" s="491"/>
      <c r="H87" s="490" t="s">
        <v>84</v>
      </c>
      <c r="I87" s="483"/>
      <c r="J87" s="483"/>
      <c r="K87" s="491"/>
      <c r="L87" s="252"/>
      <c r="M87" s="292"/>
      <c r="O87" s="480"/>
    </row>
    <row r="88" spans="2:20" ht="12.75" customHeight="1">
      <c r="B88" s="486" t="s">
        <v>24</v>
      </c>
      <c r="C88" s="487"/>
      <c r="D88" s="497" t="s">
        <v>41</v>
      </c>
      <c r="E88" s="498"/>
      <c r="F88" s="359" t="s">
        <v>9</v>
      </c>
      <c r="G88" s="360" t="s">
        <v>26</v>
      </c>
      <c r="H88" s="488" t="s">
        <v>42</v>
      </c>
      <c r="I88" s="489"/>
      <c r="J88" s="297" t="s">
        <v>9</v>
      </c>
      <c r="K88" s="298" t="s">
        <v>26</v>
      </c>
      <c r="L88" s="486" t="s">
        <v>92</v>
      </c>
      <c r="M88" s="487"/>
      <c r="O88" s="480"/>
      <c r="S88" s="185" t="s">
        <v>28</v>
      </c>
      <c r="T88" s="185" t="s">
        <v>29</v>
      </c>
    </row>
    <row r="89" spans="2:20" ht="51">
      <c r="B89" s="299" t="s">
        <v>30</v>
      </c>
      <c r="C89" s="300" t="s">
        <v>31</v>
      </c>
      <c r="D89" s="361" t="s">
        <v>32</v>
      </c>
      <c r="E89" s="362" t="s">
        <v>13</v>
      </c>
      <c r="F89" s="363" t="s">
        <v>33</v>
      </c>
      <c r="G89" s="364" t="s">
        <v>13</v>
      </c>
      <c r="H89" s="299" t="s">
        <v>32</v>
      </c>
      <c r="I89" s="301" t="s">
        <v>13</v>
      </c>
      <c r="J89" s="302" t="s">
        <v>33</v>
      </c>
      <c r="K89" s="303" t="s">
        <v>13</v>
      </c>
      <c r="L89" s="304" t="s">
        <v>93</v>
      </c>
      <c r="M89" s="305" t="s">
        <v>94</v>
      </c>
      <c r="O89" s="480"/>
      <c r="S89" s="185" t="s">
        <v>34</v>
      </c>
      <c r="T89" s="185" t="s">
        <v>34</v>
      </c>
    </row>
    <row r="90" spans="2:15" ht="12.75">
      <c r="B90" s="306"/>
      <c r="C90" s="307"/>
      <c r="D90" s="365"/>
      <c r="E90" s="328"/>
      <c r="F90" s="366"/>
      <c r="G90" s="367"/>
      <c r="H90" s="306"/>
      <c r="I90" s="311"/>
      <c r="J90" s="368"/>
      <c r="K90" s="310"/>
      <c r="L90" s="312"/>
      <c r="M90" s="344"/>
      <c r="O90" s="480"/>
    </row>
    <row r="91" spans="2:20" ht="12.75">
      <c r="B91" s="306">
        <v>65</v>
      </c>
      <c r="C91" s="307">
        <v>212</v>
      </c>
      <c r="D91" s="329"/>
      <c r="E91" s="328"/>
      <c r="F91" s="369"/>
      <c r="G91" s="350"/>
      <c r="H91" s="318"/>
      <c r="I91" s="328"/>
      <c r="J91" s="320"/>
      <c r="K91" s="317"/>
      <c r="L91" s="370"/>
      <c r="M91" s="327"/>
      <c r="O91" s="348"/>
      <c r="S91" s="185">
        <f aca="true" t="shared" si="21" ref="S91:S98">D91*F91</f>
        <v>0</v>
      </c>
      <c r="T91" s="295">
        <f aca="true" t="shared" si="22" ref="T91:T98">H91*J91</f>
        <v>0</v>
      </c>
    </row>
    <row r="92" spans="2:20" ht="12.75">
      <c r="B92" s="306">
        <v>100</v>
      </c>
      <c r="C92" s="307">
        <v>150</v>
      </c>
      <c r="D92" s="329">
        <v>2.2</v>
      </c>
      <c r="E92" s="328">
        <f aca="true" t="shared" si="23" ref="E92:E98">D92/D$100%</f>
        <v>2.8241335044929397</v>
      </c>
      <c r="F92" s="320">
        <v>6088.1</v>
      </c>
      <c r="G92" s="349">
        <f aca="true" t="shared" si="24" ref="G92:G98">S92/S$100%</f>
        <v>7.520469044605729</v>
      </c>
      <c r="H92" s="318"/>
      <c r="I92" s="328"/>
      <c r="J92" s="320"/>
      <c r="K92" s="317"/>
      <c r="L92" s="347">
        <f aca="true" t="shared" si="25" ref="L92:L98">S92/SUM(S92:T92)%</f>
        <v>100</v>
      </c>
      <c r="M92" s="323">
        <f aca="true" t="shared" si="26" ref="M92:M98">S92/SUM(S$100:T$100)%</f>
        <v>4.169476420070854</v>
      </c>
      <c r="O92" s="348"/>
      <c r="S92" s="185">
        <f t="shared" si="21"/>
        <v>13393.820000000002</v>
      </c>
      <c r="T92" s="295">
        <f t="shared" si="22"/>
        <v>0</v>
      </c>
    </row>
    <row r="93" spans="2:20" ht="12.75">
      <c r="B93" s="306">
        <v>150</v>
      </c>
      <c r="C93" s="307">
        <v>106</v>
      </c>
      <c r="D93" s="329">
        <v>6.2</v>
      </c>
      <c r="E93" s="328">
        <f t="shared" si="23"/>
        <v>7.958921694480103</v>
      </c>
      <c r="F93" s="320">
        <v>6066.29</v>
      </c>
      <c r="G93" s="350">
        <f t="shared" si="24"/>
        <v>21.11812359698189</v>
      </c>
      <c r="H93" s="475">
        <f aca="true" t="shared" si="27" ref="H93:H98">O93*H$100/O$100</f>
        <v>706.1620997028723</v>
      </c>
      <c r="I93" s="328">
        <f aca="true" t="shared" si="28" ref="I93:I98">H93/$H$100%</f>
        <v>4.027731924727633</v>
      </c>
      <c r="J93" s="454">
        <v>12.1</v>
      </c>
      <c r="K93" s="317">
        <f aca="true" t="shared" si="29" ref="K93:K98">T93/T$100%</f>
        <v>5.969504654854904</v>
      </c>
      <c r="L93" s="347">
        <f t="shared" si="25"/>
        <v>81.48747081327959</v>
      </c>
      <c r="M93" s="327">
        <f t="shared" si="26"/>
        <v>11.708248229133437</v>
      </c>
      <c r="O93" s="326">
        <v>12.2</v>
      </c>
      <c r="S93" s="185">
        <f t="shared" si="21"/>
        <v>37610.998</v>
      </c>
      <c r="T93" s="295">
        <f t="shared" si="22"/>
        <v>8544.561406404755</v>
      </c>
    </row>
    <row r="94" spans="2:20" ht="12.75">
      <c r="B94" s="306">
        <v>200</v>
      </c>
      <c r="C94" s="307">
        <v>75</v>
      </c>
      <c r="D94" s="314">
        <v>19.3</v>
      </c>
      <c r="E94" s="315">
        <f t="shared" si="23"/>
        <v>24.77535301668806</v>
      </c>
      <c r="F94" s="320">
        <v>2197.1</v>
      </c>
      <c r="G94" s="350">
        <f t="shared" si="24"/>
        <v>23.809353491500755</v>
      </c>
      <c r="H94" s="475">
        <f t="shared" si="27"/>
        <v>3299.281941234731</v>
      </c>
      <c r="I94" s="315">
        <f t="shared" si="28"/>
        <v>18.818091779465174</v>
      </c>
      <c r="J94" s="454">
        <v>6.66</v>
      </c>
      <c r="K94" s="321">
        <f t="shared" si="29"/>
        <v>15.351194669259034</v>
      </c>
      <c r="L94" s="347">
        <f t="shared" si="25"/>
        <v>65.86803800428142</v>
      </c>
      <c r="M94" s="327">
        <f t="shared" si="26"/>
        <v>13.200312024573801</v>
      </c>
      <c r="O94" s="326">
        <v>57</v>
      </c>
      <c r="S94" s="185">
        <f t="shared" si="21"/>
        <v>42404.03</v>
      </c>
      <c r="T94" s="295">
        <f t="shared" si="22"/>
        <v>21973.21772862331</v>
      </c>
    </row>
    <row r="95" spans="2:20" ht="12.75">
      <c r="B95" s="306">
        <v>270</v>
      </c>
      <c r="C95" s="307">
        <v>53</v>
      </c>
      <c r="D95" s="314">
        <v>19.2</v>
      </c>
      <c r="E95" s="315">
        <f t="shared" si="23"/>
        <v>24.64698331193838</v>
      </c>
      <c r="F95" s="320">
        <v>1568.09</v>
      </c>
      <c r="G95" s="350">
        <f t="shared" si="24"/>
        <v>16.904903025409574</v>
      </c>
      <c r="H95" s="475">
        <f t="shared" si="27"/>
        <v>3033.0241003631563</v>
      </c>
      <c r="I95" s="315">
        <f t="shared" si="28"/>
        <v>17.299438758666227</v>
      </c>
      <c r="J95" s="454">
        <v>5.93</v>
      </c>
      <c r="K95" s="321">
        <f t="shared" si="29"/>
        <v>12.565479748085448</v>
      </c>
      <c r="L95" s="347">
        <f t="shared" si="25"/>
        <v>62.602098566812195</v>
      </c>
      <c r="M95" s="323">
        <f t="shared" si="26"/>
        <v>9.372366820469363</v>
      </c>
      <c r="O95" s="326">
        <v>52.4</v>
      </c>
      <c r="S95" s="185">
        <f t="shared" si="21"/>
        <v>30107.327999999998</v>
      </c>
      <c r="T95" s="295">
        <f t="shared" si="22"/>
        <v>17985.832915153514</v>
      </c>
    </row>
    <row r="96" spans="2:20" ht="12.75">
      <c r="B96" s="306">
        <v>400</v>
      </c>
      <c r="C96" s="307">
        <v>38</v>
      </c>
      <c r="D96" s="314">
        <v>15.8</v>
      </c>
      <c r="E96" s="315">
        <f t="shared" si="23"/>
        <v>20.282413350449293</v>
      </c>
      <c r="F96" s="320">
        <v>1318.52</v>
      </c>
      <c r="G96" s="350">
        <f t="shared" si="24"/>
        <v>11.697263644438854</v>
      </c>
      <c r="H96" s="475">
        <f t="shared" si="27"/>
        <v>2836.2248266754705</v>
      </c>
      <c r="I96" s="315">
        <f t="shared" si="28"/>
        <v>16.176956091119184</v>
      </c>
      <c r="J96" s="454">
        <v>5.96</v>
      </c>
      <c r="K96" s="321">
        <f t="shared" si="29"/>
        <v>11.809606688821473</v>
      </c>
      <c r="L96" s="347">
        <f t="shared" si="25"/>
        <v>55.2054567470554</v>
      </c>
      <c r="M96" s="323">
        <f t="shared" si="26"/>
        <v>6.4851626481758595</v>
      </c>
      <c r="O96" s="326">
        <v>49</v>
      </c>
      <c r="S96" s="185">
        <f t="shared" si="21"/>
        <v>20832.616</v>
      </c>
      <c r="T96" s="295">
        <f t="shared" si="22"/>
        <v>16903.899966985802</v>
      </c>
    </row>
    <row r="97" spans="2:20" ht="12.75">
      <c r="B97" s="306">
        <v>500</v>
      </c>
      <c r="C97" s="307">
        <v>25</v>
      </c>
      <c r="D97" s="329">
        <v>8.6</v>
      </c>
      <c r="E97" s="315">
        <f t="shared" si="23"/>
        <v>11.0397946084724</v>
      </c>
      <c r="F97" s="320">
        <v>1709.95</v>
      </c>
      <c r="G97" s="349">
        <f t="shared" si="24"/>
        <v>8.257000912979468</v>
      </c>
      <c r="H97" s="475">
        <f t="shared" si="27"/>
        <v>1794.3463189171346</v>
      </c>
      <c r="I97" s="315">
        <f t="shared" si="28"/>
        <v>10.234400792340708</v>
      </c>
      <c r="J97" s="454">
        <v>5.74</v>
      </c>
      <c r="K97" s="317">
        <f t="shared" si="29"/>
        <v>7.195594487771858</v>
      </c>
      <c r="L97" s="347">
        <f t="shared" si="25"/>
        <v>58.81024067196825</v>
      </c>
      <c r="M97" s="323">
        <f t="shared" si="26"/>
        <v>4.5778222612146005</v>
      </c>
      <c r="O97" s="326">
        <v>31</v>
      </c>
      <c r="S97" s="185">
        <f t="shared" si="21"/>
        <v>14705.57</v>
      </c>
      <c r="T97" s="295">
        <f t="shared" si="22"/>
        <v>10299.547870584352</v>
      </c>
    </row>
    <row r="98" spans="2:20" ht="12.75">
      <c r="B98" s="330" t="s">
        <v>35</v>
      </c>
      <c r="C98" s="307">
        <v>-25</v>
      </c>
      <c r="D98" s="329">
        <v>6.6000000000000085</v>
      </c>
      <c r="E98" s="328">
        <f t="shared" si="23"/>
        <v>8.47240051347883</v>
      </c>
      <c r="F98" s="320">
        <v>2885.43</v>
      </c>
      <c r="G98" s="350">
        <f t="shared" si="24"/>
        <v>10.692886284083738</v>
      </c>
      <c r="H98" s="475">
        <f t="shared" si="27"/>
        <v>5863.460713106636</v>
      </c>
      <c r="I98" s="315">
        <f t="shared" si="28"/>
        <v>33.44338065368108</v>
      </c>
      <c r="J98" s="454">
        <v>11.5</v>
      </c>
      <c r="K98" s="321">
        <f t="shared" si="29"/>
        <v>47.10861975120729</v>
      </c>
      <c r="L98" s="347">
        <f t="shared" si="25"/>
        <v>22.022709853202706</v>
      </c>
      <c r="M98" s="323">
        <f t="shared" si="26"/>
        <v>5.928318693893854</v>
      </c>
      <c r="O98" s="326">
        <v>101.3</v>
      </c>
      <c r="S98" s="185">
        <f t="shared" si="21"/>
        <v>19043.838000000025</v>
      </c>
      <c r="T98" s="295">
        <f t="shared" si="22"/>
        <v>67429.79820072632</v>
      </c>
    </row>
    <row r="99" spans="2:20" ht="12.75">
      <c r="B99" s="312"/>
      <c r="C99" s="331"/>
      <c r="D99" s="351"/>
      <c r="E99" s="352"/>
      <c r="F99" s="353"/>
      <c r="G99" s="354"/>
      <c r="H99" s="312"/>
      <c r="I99" s="332"/>
      <c r="J99" s="355"/>
      <c r="K99" s="334"/>
      <c r="L99" s="312"/>
      <c r="M99" s="327"/>
      <c r="O99" s="336"/>
      <c r="T99" s="295"/>
    </row>
    <row r="100" spans="2:20" ht="13.5" thickBot="1">
      <c r="B100" s="337" t="s">
        <v>36</v>
      </c>
      <c r="C100" s="338"/>
      <c r="D100" s="356">
        <f>SUM(D91:D98)</f>
        <v>77.9</v>
      </c>
      <c r="E100" s="465">
        <f>SUM(E90:E98)</f>
        <v>100.00000000000001</v>
      </c>
      <c r="F100" s="462">
        <f>S100/D100</f>
        <v>2286.241335044929</v>
      </c>
      <c r="G100" s="464">
        <f>SUM(G90:G98)</f>
        <v>100</v>
      </c>
      <c r="H100" s="459">
        <v>17532.5</v>
      </c>
      <c r="I100" s="339">
        <f>SUM(I91:I98)</f>
        <v>100</v>
      </c>
      <c r="J100" s="357">
        <f>T100/H100</f>
        <v>8.164087157477715</v>
      </c>
      <c r="K100" s="463">
        <f>SUM(K90:K98)</f>
        <v>100</v>
      </c>
      <c r="L100" s="342"/>
      <c r="M100" s="343">
        <f>SUM(M91:M98)</f>
        <v>55.44170709753177</v>
      </c>
      <c r="O100" s="460">
        <f>SUM(O91:O98)</f>
        <v>302.9</v>
      </c>
      <c r="S100" s="185">
        <f>SUM(S91:S98)</f>
        <v>178098.2</v>
      </c>
      <c r="T100" s="295">
        <f>SUM(T91:T98)</f>
        <v>143136.85808847804</v>
      </c>
    </row>
    <row r="102" spans="2:13" ht="12.75">
      <c r="B102" s="240" t="s">
        <v>43</v>
      </c>
      <c r="M102" s="295"/>
    </row>
    <row r="103" ht="13.5" thickBot="1"/>
    <row r="104" spans="2:9" ht="12.75">
      <c r="B104" s="492" t="s">
        <v>24</v>
      </c>
      <c r="C104" s="493"/>
      <c r="D104" s="492" t="s">
        <v>44</v>
      </c>
      <c r="E104" s="494"/>
      <c r="F104" s="494"/>
      <c r="G104" s="493"/>
      <c r="H104" s="495" t="s">
        <v>45</v>
      </c>
      <c r="I104" s="496"/>
    </row>
    <row r="105" spans="2:9" ht="12.75">
      <c r="B105" s="372" t="s">
        <v>30</v>
      </c>
      <c r="C105" s="373" t="s">
        <v>31</v>
      </c>
      <c r="D105" s="372" t="s">
        <v>46</v>
      </c>
      <c r="E105" s="196" t="s">
        <v>47</v>
      </c>
      <c r="F105" s="374" t="s">
        <v>48</v>
      </c>
      <c r="G105" s="373" t="s">
        <v>49</v>
      </c>
      <c r="H105" s="375" t="s">
        <v>50</v>
      </c>
      <c r="I105" s="376" t="s">
        <v>51</v>
      </c>
    </row>
    <row r="106" spans="2:11" ht="12.75">
      <c r="B106" s="377"/>
      <c r="C106" s="378"/>
      <c r="D106" s="379"/>
      <c r="E106" s="380"/>
      <c r="F106" s="381"/>
      <c r="G106" s="382"/>
      <c r="H106" s="383"/>
      <c r="I106" s="384"/>
      <c r="K106" s="188"/>
    </row>
    <row r="107" spans="2:9" ht="12.75">
      <c r="B107" s="377">
        <v>28</v>
      </c>
      <c r="C107" s="378">
        <v>600</v>
      </c>
      <c r="D107" s="385">
        <f>S53</f>
        <v>942841.2490000001</v>
      </c>
      <c r="E107" s="386">
        <f aca="true" t="shared" si="30" ref="E107:E117">S72</f>
        <v>0</v>
      </c>
      <c r="F107" s="387">
        <v>0</v>
      </c>
      <c r="G107" s="388">
        <v>0</v>
      </c>
      <c r="H107" s="389">
        <f>O53*J53</f>
        <v>2396.261</v>
      </c>
      <c r="I107" s="390">
        <f>O72*J72</f>
        <v>0</v>
      </c>
    </row>
    <row r="108" spans="2:9" ht="12.75">
      <c r="B108" s="377">
        <v>35</v>
      </c>
      <c r="C108" s="378">
        <v>425</v>
      </c>
      <c r="D108" s="385">
        <f aca="true" t="shared" si="31" ref="D108:D117">S54</f>
        <v>653225.848</v>
      </c>
      <c r="E108" s="386">
        <f t="shared" si="30"/>
        <v>0</v>
      </c>
      <c r="F108" s="387">
        <v>0</v>
      </c>
      <c r="G108" s="388">
        <v>0</v>
      </c>
      <c r="H108" s="389">
        <f aca="true" t="shared" si="32" ref="H108:H117">O54*J54</f>
        <v>3753.6300000000006</v>
      </c>
      <c r="I108" s="390">
        <f aca="true" t="shared" si="33" ref="I108:I117">O73*J73</f>
        <v>0</v>
      </c>
    </row>
    <row r="109" spans="2:9" ht="12.75">
      <c r="B109" s="377">
        <v>48</v>
      </c>
      <c r="C109" s="378">
        <v>300</v>
      </c>
      <c r="D109" s="385">
        <f t="shared" si="31"/>
        <v>348396.666</v>
      </c>
      <c r="E109" s="386">
        <f t="shared" si="30"/>
        <v>270521.16</v>
      </c>
      <c r="F109" s="387">
        <v>0</v>
      </c>
      <c r="G109" s="388">
        <f>T90</f>
        <v>0</v>
      </c>
      <c r="H109" s="389">
        <f t="shared" si="32"/>
        <v>3110.04</v>
      </c>
      <c r="I109" s="390">
        <f t="shared" si="33"/>
        <v>23.587000000000003</v>
      </c>
    </row>
    <row r="110" spans="2:9" ht="12.75">
      <c r="B110" s="377">
        <v>65</v>
      </c>
      <c r="C110" s="378">
        <v>212</v>
      </c>
      <c r="D110" s="385">
        <f t="shared" si="31"/>
        <v>191630.96899999998</v>
      </c>
      <c r="E110" s="386">
        <f t="shared" si="30"/>
        <v>214338.28799999997</v>
      </c>
      <c r="F110" s="387">
        <f aca="true" t="shared" si="34" ref="F110:F117">S91</f>
        <v>0</v>
      </c>
      <c r="G110" s="391">
        <f aca="true" t="shared" si="35" ref="G110:G117">T91*F$25/H$100</f>
        <v>0</v>
      </c>
      <c r="H110" s="389">
        <f t="shared" si="32"/>
        <v>2200.08</v>
      </c>
      <c r="I110" s="390">
        <f t="shared" si="33"/>
        <v>674.25</v>
      </c>
    </row>
    <row r="111" spans="2:9" ht="12.75">
      <c r="B111" s="377">
        <v>100</v>
      </c>
      <c r="C111" s="378">
        <v>150</v>
      </c>
      <c r="D111" s="385">
        <f t="shared" si="31"/>
        <v>161414.22</v>
      </c>
      <c r="E111" s="386">
        <f t="shared" si="30"/>
        <v>137413.745</v>
      </c>
      <c r="F111" s="387">
        <f t="shared" si="34"/>
        <v>13393.820000000002</v>
      </c>
      <c r="G111" s="391">
        <f t="shared" si="35"/>
        <v>0</v>
      </c>
      <c r="H111" s="389">
        <f t="shared" si="32"/>
        <v>1486.32</v>
      </c>
      <c r="I111" s="390">
        <f t="shared" si="33"/>
        <v>1369.04</v>
      </c>
    </row>
    <row r="112" spans="2:9" ht="12.75">
      <c r="B112" s="377">
        <v>150</v>
      </c>
      <c r="C112" s="378">
        <v>106</v>
      </c>
      <c r="D112" s="385">
        <f t="shared" si="31"/>
        <v>136971.44</v>
      </c>
      <c r="E112" s="386">
        <f t="shared" si="30"/>
        <v>81824.652</v>
      </c>
      <c r="F112" s="387">
        <f t="shared" si="34"/>
        <v>37610.998</v>
      </c>
      <c r="G112" s="391">
        <f t="shared" si="35"/>
        <v>8544.561406404755</v>
      </c>
      <c r="H112" s="389">
        <f t="shared" si="32"/>
        <v>865.8</v>
      </c>
      <c r="I112" s="390">
        <f t="shared" si="33"/>
        <v>1125.6399999999999</v>
      </c>
    </row>
    <row r="113" spans="2:9" ht="12.75">
      <c r="B113" s="377">
        <v>200</v>
      </c>
      <c r="C113" s="378">
        <v>75</v>
      </c>
      <c r="D113" s="385">
        <f t="shared" si="31"/>
        <v>94688.04000000001</v>
      </c>
      <c r="E113" s="386">
        <f t="shared" si="30"/>
        <v>62433.049999999996</v>
      </c>
      <c r="F113" s="387">
        <f t="shared" si="34"/>
        <v>42404.03</v>
      </c>
      <c r="G113" s="391">
        <f t="shared" si="35"/>
        <v>21973.21772862331</v>
      </c>
      <c r="H113" s="389">
        <f t="shared" si="32"/>
        <v>588.96</v>
      </c>
      <c r="I113" s="390">
        <f t="shared" si="33"/>
        <v>871.17</v>
      </c>
    </row>
    <row r="114" spans="2:9" ht="12.75">
      <c r="B114" s="377">
        <v>270</v>
      </c>
      <c r="C114" s="378">
        <v>53</v>
      </c>
      <c r="D114" s="385">
        <f t="shared" si="31"/>
        <v>67478.234</v>
      </c>
      <c r="E114" s="386">
        <f t="shared" si="30"/>
        <v>37651.88</v>
      </c>
      <c r="F114" s="387">
        <f t="shared" si="34"/>
        <v>30107.327999999998</v>
      </c>
      <c r="G114" s="391">
        <f t="shared" si="35"/>
        <v>17985.832915153514</v>
      </c>
      <c r="H114" s="389">
        <f t="shared" si="32"/>
        <v>326.4</v>
      </c>
      <c r="I114" s="390">
        <f t="shared" si="33"/>
        <v>526.89</v>
      </c>
    </row>
    <row r="115" spans="2:9" ht="12.75">
      <c r="B115" s="377">
        <v>400</v>
      </c>
      <c r="C115" s="378">
        <v>38</v>
      </c>
      <c r="D115" s="385">
        <f t="shared" si="31"/>
        <v>39559</v>
      </c>
      <c r="E115" s="386">
        <f t="shared" si="30"/>
        <v>28904.084</v>
      </c>
      <c r="F115" s="387">
        <f t="shared" si="34"/>
        <v>20832.616</v>
      </c>
      <c r="G115" s="391">
        <f t="shared" si="35"/>
        <v>16903.899966985802</v>
      </c>
      <c r="H115" s="389">
        <f t="shared" si="32"/>
        <v>254.72</v>
      </c>
      <c r="I115" s="390">
        <f t="shared" si="33"/>
        <v>440.51</v>
      </c>
    </row>
    <row r="116" spans="2:9" ht="12.75">
      <c r="B116" s="377">
        <v>500</v>
      </c>
      <c r="C116" s="378">
        <v>25</v>
      </c>
      <c r="D116" s="385">
        <f t="shared" si="31"/>
        <v>25092.45</v>
      </c>
      <c r="E116" s="386">
        <f t="shared" si="30"/>
        <v>17788.995000000003</v>
      </c>
      <c r="F116" s="387">
        <f t="shared" si="34"/>
        <v>14705.57</v>
      </c>
      <c r="G116" s="391">
        <f t="shared" si="35"/>
        <v>10299.547870584352</v>
      </c>
      <c r="H116" s="389">
        <f t="shared" si="32"/>
        <v>154.38</v>
      </c>
      <c r="I116" s="390">
        <f t="shared" si="33"/>
        <v>267.97</v>
      </c>
    </row>
    <row r="117" spans="2:9" ht="12.75">
      <c r="B117" s="392" t="s">
        <v>35</v>
      </c>
      <c r="C117" s="378">
        <v>-25</v>
      </c>
      <c r="D117" s="385">
        <f t="shared" si="31"/>
        <v>47961.54</v>
      </c>
      <c r="E117" s="386">
        <f t="shared" si="30"/>
        <v>9419.515</v>
      </c>
      <c r="F117" s="387">
        <f t="shared" si="34"/>
        <v>19043.838000000025</v>
      </c>
      <c r="G117" s="391">
        <f t="shared" si="35"/>
        <v>67429.79820072632</v>
      </c>
      <c r="H117" s="389">
        <f t="shared" si="32"/>
        <v>850</v>
      </c>
      <c r="I117" s="390">
        <f t="shared" si="33"/>
        <v>1065.86</v>
      </c>
    </row>
    <row r="118" spans="2:9" ht="12.75">
      <c r="B118" s="379"/>
      <c r="C118" s="382"/>
      <c r="D118" s="393"/>
      <c r="E118" s="394"/>
      <c r="F118" s="395"/>
      <c r="G118" s="396"/>
      <c r="H118" s="397"/>
      <c r="I118" s="398"/>
    </row>
    <row r="119" spans="2:12" ht="13.5" thickBot="1">
      <c r="B119" s="399" t="s">
        <v>36</v>
      </c>
      <c r="C119" s="400"/>
      <c r="D119" s="401">
        <f aca="true" t="shared" si="36" ref="D119:I119">SUM(D107:D117)</f>
        <v>2709259.6560000004</v>
      </c>
      <c r="E119" s="402">
        <f t="shared" si="36"/>
        <v>860295.3690000001</v>
      </c>
      <c r="F119" s="403">
        <f t="shared" si="36"/>
        <v>178098.2</v>
      </c>
      <c r="G119" s="404">
        <f t="shared" si="36"/>
        <v>143136.85808847804</v>
      </c>
      <c r="H119" s="405">
        <f t="shared" si="36"/>
        <v>15986.590999999999</v>
      </c>
      <c r="I119" s="406">
        <f t="shared" si="36"/>
        <v>6364.917</v>
      </c>
      <c r="L119" s="294">
        <f>SUM(D119:F119)</f>
        <v>3747653.2250000006</v>
      </c>
    </row>
    <row r="120" spans="2:12" ht="13.5" thickBot="1">
      <c r="B120" s="407"/>
      <c r="C120" s="408"/>
      <c r="D120" s="409"/>
      <c r="E120" s="409"/>
      <c r="F120" s="409"/>
      <c r="G120" s="410"/>
      <c r="H120" s="410"/>
      <c r="I120" s="411"/>
      <c r="L120" s="294"/>
    </row>
    <row r="121" spans="2:15" ht="13.5" thickBot="1">
      <c r="B121" s="381"/>
      <c r="C121" s="381"/>
      <c r="D121" s="412"/>
      <c r="E121" s="412"/>
      <c r="F121" s="412"/>
      <c r="G121" s="412"/>
      <c r="H121" s="412"/>
      <c r="I121" s="412"/>
      <c r="L121" s="413">
        <f>L119/F122%</f>
        <v>95.77095890255161</v>
      </c>
      <c r="M121" s="413">
        <f>D119/F122%</f>
        <v>69.23489970743414</v>
      </c>
      <c r="N121" s="413">
        <f>E119/F122%</f>
        <v>21.984774866291016</v>
      </c>
      <c r="O121" s="413">
        <f>F119/F122%</f>
        <v>4.551284328826452</v>
      </c>
    </row>
    <row r="122" spans="2:9" ht="12.75">
      <c r="B122" s="414" t="s">
        <v>52</v>
      </c>
      <c r="C122" s="415"/>
      <c r="D122" s="416"/>
      <c r="E122" s="416"/>
      <c r="F122" s="417">
        <f>SUM(D119:I119)</f>
        <v>3913141.5910884785</v>
      </c>
      <c r="G122" s="416"/>
      <c r="H122" s="416"/>
      <c r="I122" s="418"/>
    </row>
    <row r="123" spans="2:9" ht="13.5" thickBot="1">
      <c r="B123" s="419" t="s">
        <v>89</v>
      </c>
      <c r="C123" s="420"/>
      <c r="D123" s="421"/>
      <c r="E123" s="421"/>
      <c r="F123" s="467">
        <f>F122/F26</f>
        <v>212.48481443348368</v>
      </c>
      <c r="G123" s="421"/>
      <c r="H123" s="421"/>
      <c r="I123" s="422"/>
    </row>
    <row r="124" ht="13.5" thickBot="1">
      <c r="I124" s="423"/>
    </row>
    <row r="125" spans="2:10" ht="24">
      <c r="B125" s="486" t="s">
        <v>24</v>
      </c>
      <c r="C125" s="487"/>
      <c r="D125" s="486" t="s">
        <v>53</v>
      </c>
      <c r="E125" s="499"/>
      <c r="F125" s="499"/>
      <c r="G125" s="424" t="s">
        <v>120</v>
      </c>
      <c r="H125" s="490" t="s">
        <v>54</v>
      </c>
      <c r="I125" s="483"/>
      <c r="J125" s="491"/>
    </row>
    <row r="126" spans="2:10" ht="12.75">
      <c r="B126" s="372" t="s">
        <v>30</v>
      </c>
      <c r="C126" s="373" t="s">
        <v>31</v>
      </c>
      <c r="D126" s="372" t="s">
        <v>55</v>
      </c>
      <c r="E126" s="196" t="s">
        <v>56</v>
      </c>
      <c r="F126" s="195" t="s">
        <v>57</v>
      </c>
      <c r="G126" s="211" t="s">
        <v>58</v>
      </c>
      <c r="H126" s="425" t="s">
        <v>55</v>
      </c>
      <c r="I126" s="213" t="s">
        <v>56</v>
      </c>
      <c r="J126" s="426" t="s">
        <v>57</v>
      </c>
    </row>
    <row r="127" spans="2:10" ht="12.75">
      <c r="B127" s="377"/>
      <c r="C127" s="378"/>
      <c r="D127" s="379"/>
      <c r="E127" s="380"/>
      <c r="F127" s="427"/>
      <c r="G127" s="428"/>
      <c r="H127" s="379"/>
      <c r="I127" s="380"/>
      <c r="J127" s="429"/>
    </row>
    <row r="128" spans="2:10" ht="12.75">
      <c r="B128" s="377">
        <v>28</v>
      </c>
      <c r="C128" s="378">
        <v>600</v>
      </c>
      <c r="D128" s="455">
        <f aca="true" t="shared" si="37" ref="D128:F138">D107/$F$122%</f>
        <v>24.09422779761311</v>
      </c>
      <c r="E128" s="431">
        <f t="shared" si="37"/>
        <v>0</v>
      </c>
      <c r="F128" s="432">
        <f t="shared" si="37"/>
        <v>0</v>
      </c>
      <c r="G128" s="433">
        <f>SUM(D128:F128)</f>
        <v>24.09422779761311</v>
      </c>
      <c r="H128" s="434">
        <f>SUM(D$128:D128)</f>
        <v>24.09422779761311</v>
      </c>
      <c r="I128" s="435">
        <f>SUM(D$128:E128)</f>
        <v>24.09422779761311</v>
      </c>
      <c r="J128" s="436">
        <f>G128</f>
        <v>24.09422779761311</v>
      </c>
    </row>
    <row r="129" spans="2:10" ht="12.75">
      <c r="B129" s="377">
        <v>35</v>
      </c>
      <c r="C129" s="378">
        <v>425</v>
      </c>
      <c r="D129" s="455">
        <f>D108/$F$122%</f>
        <v>16.693130897374427</v>
      </c>
      <c r="E129" s="431">
        <f t="shared" si="37"/>
        <v>0</v>
      </c>
      <c r="F129" s="432">
        <f t="shared" si="37"/>
        <v>0</v>
      </c>
      <c r="G129" s="433">
        <f>SUM(D129:F129)</f>
        <v>16.693130897374427</v>
      </c>
      <c r="H129" s="434">
        <f>SUM(D$128:D129)</f>
        <v>40.78735869498754</v>
      </c>
      <c r="I129" s="435">
        <f>SUM(D$128:E129)</f>
        <v>40.78735869498754</v>
      </c>
      <c r="J129" s="436">
        <f>G129+J128</f>
        <v>40.78735869498754</v>
      </c>
    </row>
    <row r="130" spans="2:10" ht="12.75">
      <c r="B130" s="377">
        <v>48</v>
      </c>
      <c r="C130" s="378">
        <v>300</v>
      </c>
      <c r="D130" s="430">
        <f t="shared" si="37"/>
        <v>8.903247119741714</v>
      </c>
      <c r="E130" s="431">
        <f t="shared" si="37"/>
        <v>6.913145198120774</v>
      </c>
      <c r="F130" s="432">
        <f t="shared" si="37"/>
        <v>0</v>
      </c>
      <c r="G130" s="433">
        <f>SUM(D130:F130)</f>
        <v>15.816392317862487</v>
      </c>
      <c r="H130" s="434">
        <f>SUM(D$128:D130)</f>
        <v>49.69060581472925</v>
      </c>
      <c r="I130" s="435">
        <f>SUM(D$128:E130)</f>
        <v>56.603751012850026</v>
      </c>
      <c r="J130" s="436">
        <f aca="true" t="shared" si="38" ref="J130:J138">G130+J129</f>
        <v>56.603751012850026</v>
      </c>
    </row>
    <row r="131" spans="2:10" ht="12.75">
      <c r="B131" s="377">
        <v>65</v>
      </c>
      <c r="C131" s="378">
        <v>212</v>
      </c>
      <c r="D131" s="430">
        <f t="shared" si="37"/>
        <v>4.897113087765781</v>
      </c>
      <c r="E131" s="431">
        <f t="shared" si="37"/>
        <v>5.477396690375819</v>
      </c>
      <c r="F131" s="432">
        <f t="shared" si="37"/>
        <v>0</v>
      </c>
      <c r="G131" s="433">
        <f>SUM(D131:F131)</f>
        <v>10.3745097781416</v>
      </c>
      <c r="H131" s="434">
        <f>SUM(D$128:D131)</f>
        <v>54.587718902495034</v>
      </c>
      <c r="I131" s="435">
        <f>SUM(D$128:E131)</f>
        <v>66.97826079099163</v>
      </c>
      <c r="J131" s="436">
        <f t="shared" si="38"/>
        <v>66.97826079099163</v>
      </c>
    </row>
    <row r="132" spans="2:10" ht="12.75">
      <c r="B132" s="377">
        <v>100</v>
      </c>
      <c r="C132" s="378">
        <v>150</v>
      </c>
      <c r="D132" s="430">
        <f t="shared" si="37"/>
        <v>4.124926641233574</v>
      </c>
      <c r="E132" s="431">
        <f t="shared" si="37"/>
        <v>3.5115965472074073</v>
      </c>
      <c r="F132" s="432">
        <f t="shared" si="37"/>
        <v>0.342277929081385</v>
      </c>
      <c r="G132" s="449">
        <f aca="true" t="shared" si="39" ref="G132:G138">SUM(D132:F132)</f>
        <v>7.978801117522367</v>
      </c>
      <c r="H132" s="434">
        <f>SUM(D$128:D132)</f>
        <v>58.712645543728605</v>
      </c>
      <c r="I132" s="435">
        <f>SUM(D$128:E132)</f>
        <v>74.6147839794326</v>
      </c>
      <c r="J132" s="436">
        <f>G132+J131</f>
        <v>74.95706190851399</v>
      </c>
    </row>
    <row r="133" spans="2:10" ht="12.75">
      <c r="B133" s="377">
        <v>150</v>
      </c>
      <c r="C133" s="378">
        <v>106</v>
      </c>
      <c r="D133" s="430">
        <f t="shared" si="37"/>
        <v>3.5002934806123402</v>
      </c>
      <c r="E133" s="431">
        <f t="shared" si="37"/>
        <v>2.09102201122346</v>
      </c>
      <c r="F133" s="432">
        <f t="shared" si="37"/>
        <v>0.9611458498116379</v>
      </c>
      <c r="G133" s="449">
        <f t="shared" si="39"/>
        <v>6.552461341647438</v>
      </c>
      <c r="H133" s="434">
        <f>SUM(D$128:D133)</f>
        <v>62.21293902434095</v>
      </c>
      <c r="I133" s="435">
        <f>SUM(D$128:E133)</f>
        <v>80.2060994712684</v>
      </c>
      <c r="J133" s="436">
        <f t="shared" si="38"/>
        <v>81.50952325016144</v>
      </c>
    </row>
    <row r="134" spans="2:10" ht="12.75">
      <c r="B134" s="377">
        <v>200</v>
      </c>
      <c r="C134" s="378">
        <v>75</v>
      </c>
      <c r="D134" s="430">
        <f t="shared" si="37"/>
        <v>2.4197447957323113</v>
      </c>
      <c r="E134" s="431">
        <f t="shared" si="37"/>
        <v>1.5954712740827157</v>
      </c>
      <c r="F134" s="432">
        <f t="shared" si="37"/>
        <v>1.0836313742535677</v>
      </c>
      <c r="G134" s="449">
        <f t="shared" si="39"/>
        <v>5.0988474440685945</v>
      </c>
      <c r="H134" s="434">
        <f>SUM(D$128:D134)</f>
        <v>64.63268382007325</v>
      </c>
      <c r="I134" s="435">
        <f>SUM(D$128:E134)</f>
        <v>84.22131554108343</v>
      </c>
      <c r="J134" s="436">
        <f t="shared" si="38"/>
        <v>86.60837069423003</v>
      </c>
    </row>
    <row r="135" spans="2:10" ht="12.75">
      <c r="B135" s="377">
        <v>270</v>
      </c>
      <c r="C135" s="378">
        <v>53</v>
      </c>
      <c r="D135" s="430">
        <f t="shared" si="37"/>
        <v>1.7244005214038338</v>
      </c>
      <c r="E135" s="431">
        <f t="shared" si="37"/>
        <v>0.9621905858389029</v>
      </c>
      <c r="F135" s="432">
        <f t="shared" si="37"/>
        <v>0.7693902021987749</v>
      </c>
      <c r="G135" s="449">
        <f t="shared" si="39"/>
        <v>3.455981309441512</v>
      </c>
      <c r="H135" s="434">
        <f>SUM(D$128:D135)</f>
        <v>66.35708434147709</v>
      </c>
      <c r="I135" s="435">
        <f>SUM(D$128:E135)</f>
        <v>86.90790664832616</v>
      </c>
      <c r="J135" s="436">
        <f t="shared" si="38"/>
        <v>90.06435200367154</v>
      </c>
    </row>
    <row r="136" spans="2:10" ht="12.75">
      <c r="B136" s="377">
        <v>400</v>
      </c>
      <c r="C136" s="378">
        <v>38</v>
      </c>
      <c r="D136" s="430">
        <f t="shared" si="37"/>
        <v>1.01092687497148</v>
      </c>
      <c r="E136" s="431">
        <f t="shared" si="37"/>
        <v>0.7386414042830495</v>
      </c>
      <c r="F136" s="432">
        <f t="shared" si="37"/>
        <v>0.5323757271508596</v>
      </c>
      <c r="G136" s="449">
        <f t="shared" si="39"/>
        <v>2.281944006405389</v>
      </c>
      <c r="H136" s="434">
        <f>SUM(D$128:D136)</f>
        <v>67.36801121644856</v>
      </c>
      <c r="I136" s="435">
        <f>SUM(D$128:E136)</f>
        <v>88.65747492758068</v>
      </c>
      <c r="J136" s="436">
        <f t="shared" si="38"/>
        <v>92.34629601007693</v>
      </c>
    </row>
    <row r="137" spans="2:10" ht="12.75">
      <c r="B137" s="377">
        <v>500</v>
      </c>
      <c r="C137" s="378">
        <v>25</v>
      </c>
      <c r="D137" s="430">
        <f t="shared" si="37"/>
        <v>0.6412354221258908</v>
      </c>
      <c r="E137" s="431">
        <f t="shared" si="37"/>
        <v>0.45459625178172564</v>
      </c>
      <c r="F137" s="432">
        <f t="shared" si="37"/>
        <v>0.37579958858349166</v>
      </c>
      <c r="G137" s="449">
        <f t="shared" si="39"/>
        <v>1.471631262491108</v>
      </c>
      <c r="H137" s="434">
        <f>SUM(D$128:D137)</f>
        <v>68.00924663857445</v>
      </c>
      <c r="I137" s="435">
        <f>SUM(D$128:E137)</f>
        <v>89.75330660148829</v>
      </c>
      <c r="J137" s="436">
        <f t="shared" si="38"/>
        <v>93.81792727256803</v>
      </c>
    </row>
    <row r="138" spans="2:10" ht="12.75">
      <c r="B138" s="392" t="s">
        <v>35</v>
      </c>
      <c r="C138" s="378">
        <v>-25</v>
      </c>
      <c r="D138" s="430">
        <f t="shared" si="37"/>
        <v>1.2256530688596687</v>
      </c>
      <c r="E138" s="431">
        <f t="shared" si="37"/>
        <v>0.24071490337715765</v>
      </c>
      <c r="F138" s="432">
        <f t="shared" si="37"/>
        <v>0.48666365774673637</v>
      </c>
      <c r="G138" s="449">
        <f t="shared" si="39"/>
        <v>1.9530316299835628</v>
      </c>
      <c r="H138" s="434">
        <f>SUM(D$128:D138)</f>
        <v>69.23489970743412</v>
      </c>
      <c r="I138" s="435">
        <f>SUM(D$128:E138)</f>
        <v>91.21967457372511</v>
      </c>
      <c r="J138" s="436">
        <f t="shared" si="38"/>
        <v>95.77095890255158</v>
      </c>
    </row>
    <row r="139" spans="2:10" ht="12.75">
      <c r="B139" s="379"/>
      <c r="C139" s="382"/>
      <c r="D139" s="437"/>
      <c r="E139" s="438"/>
      <c r="F139" s="439"/>
      <c r="G139" s="212"/>
      <c r="H139" s="440"/>
      <c r="I139" s="441"/>
      <c r="J139" s="442"/>
    </row>
    <row r="140" spans="2:10" ht="13.5" thickBot="1">
      <c r="B140" s="399" t="s">
        <v>36</v>
      </c>
      <c r="C140" s="400"/>
      <c r="D140" s="443">
        <f>SUM(D128:D138)</f>
        <v>69.23489970743412</v>
      </c>
      <c r="E140" s="444">
        <f>SUM(E128:E138)</f>
        <v>21.984774866291016</v>
      </c>
      <c r="F140" s="466">
        <f>SUM(F128:F138)</f>
        <v>4.551284328826453</v>
      </c>
      <c r="G140" s="445">
        <f>SUM(D140:F140)</f>
        <v>95.7709589025516</v>
      </c>
      <c r="H140" s="446"/>
      <c r="I140" s="447"/>
      <c r="J140" s="448"/>
    </row>
  </sheetData>
  <sheetProtection/>
  <mergeCells count="31">
    <mergeCell ref="B125:C125"/>
    <mergeCell ref="B104:C104"/>
    <mergeCell ref="D104:G104"/>
    <mergeCell ref="H104:I104"/>
    <mergeCell ref="D88:E88"/>
    <mergeCell ref="H88:I88"/>
    <mergeCell ref="H125:J125"/>
    <mergeCell ref="D125:F125"/>
    <mergeCell ref="B88:C88"/>
    <mergeCell ref="D49:G49"/>
    <mergeCell ref="H49:K49"/>
    <mergeCell ref="D50:E50"/>
    <mergeCell ref="H50:I50"/>
    <mergeCell ref="D68:G68"/>
    <mergeCell ref="H68:K68"/>
    <mergeCell ref="B50:C50"/>
    <mergeCell ref="B69:C69"/>
    <mergeCell ref="D69:E69"/>
    <mergeCell ref="H69:I69"/>
    <mergeCell ref="D87:G87"/>
    <mergeCell ref="H87:K87"/>
    <mergeCell ref="O49:O52"/>
    <mergeCell ref="O86:O90"/>
    <mergeCell ref="O68:O71"/>
    <mergeCell ref="D6:K6"/>
    <mergeCell ref="D8:K8"/>
    <mergeCell ref="F18:G18"/>
    <mergeCell ref="D30:E30"/>
    <mergeCell ref="L69:M69"/>
    <mergeCell ref="L50:M50"/>
    <mergeCell ref="L88:M88"/>
  </mergeCells>
  <printOptions horizontalCentered="1"/>
  <pageMargins left="0.5" right="0.5" top="0.5" bottom="0.5" header="0.5" footer="0.25"/>
  <pageSetup fitToHeight="3" fitToWidth="3" horizontalDpi="600" verticalDpi="600" orientation="portrait" scale="81" r:id="rId2"/>
  <rowBreaks count="1" manualBreakCount="1">
    <brk id="101" min="1" max="12" man="1"/>
  </rowBreaks>
  <ignoredErrors>
    <ignoredError sqref="J65 F65 G22 G24:G25 H65 F100 F84 H84 J84" formula="1"/>
    <ignoredError sqref="C20 C22 C24" unlockedFormula="1"/>
    <ignoredError sqref="H23:J25 J21:J22 I28 I26" evalError="1"/>
    <ignoredError sqref="H26 H28" evalError="1" formula="1"/>
    <ignoredError sqref="B117 B98 B82 B63 B13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PageLayoutView="0" workbookViewId="0" topLeftCell="A1">
      <selection activeCell="H8" sqref="H8"/>
    </sheetView>
  </sheetViews>
  <sheetFormatPr defaultColWidth="10.7109375" defaultRowHeight="12.75"/>
  <cols>
    <col min="1" max="6" width="11.7109375" style="141" customWidth="1"/>
    <col min="7" max="16384" width="10.7109375" style="141" customWidth="1"/>
  </cols>
  <sheetData>
    <row r="1" spans="1:6" s="1" customFormat="1" ht="12.75">
      <c r="A1" s="137"/>
      <c r="B1" s="138"/>
      <c r="C1" s="139" t="s">
        <v>59</v>
      </c>
      <c r="D1" s="140"/>
      <c r="E1" s="138"/>
      <c r="F1" s="141" t="s">
        <v>60</v>
      </c>
    </row>
    <row r="2" spans="1:6" s="1" customFormat="1" ht="12.75">
      <c r="A2" s="181" t="str">
        <f>'E-GRG-1'!H2</f>
        <v>Fraser</v>
      </c>
      <c r="B2" s="138"/>
      <c r="C2" s="139" t="s">
        <v>61</v>
      </c>
      <c r="D2" s="140"/>
      <c r="E2" s="138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115</v>
      </c>
      <c r="C4" s="2"/>
      <c r="D4" s="2" t="s">
        <v>63</v>
      </c>
      <c r="E4" s="3" t="s">
        <v>110</v>
      </c>
      <c r="F4" s="4"/>
    </row>
    <row r="5" spans="1:6" ht="9" customHeight="1" thickBot="1">
      <c r="A5" s="138"/>
      <c r="B5" s="138"/>
      <c r="C5" s="138"/>
      <c r="D5" s="138"/>
      <c r="E5" s="138"/>
      <c r="F5" s="138"/>
    </row>
    <row r="6" spans="1:8" ht="12.75">
      <c r="A6" s="142" t="s">
        <v>24</v>
      </c>
      <c r="B6" s="143"/>
      <c r="C6" s="144" t="s">
        <v>64</v>
      </c>
      <c r="D6" s="142" t="s">
        <v>65</v>
      </c>
      <c r="E6" s="143"/>
      <c r="F6" s="145" t="s">
        <v>66</v>
      </c>
      <c r="G6" s="138"/>
      <c r="H6" s="146" t="s">
        <v>67</v>
      </c>
    </row>
    <row r="7" spans="1:8" ht="13.5" thickBot="1">
      <c r="A7" s="147" t="s">
        <v>30</v>
      </c>
      <c r="B7" s="147" t="s">
        <v>68</v>
      </c>
      <c r="C7" s="147" t="s">
        <v>12</v>
      </c>
      <c r="D7" s="147" t="s">
        <v>69</v>
      </c>
      <c r="E7" s="147" t="s">
        <v>70</v>
      </c>
      <c r="F7" s="148" t="s">
        <v>70</v>
      </c>
      <c r="G7" s="138"/>
      <c r="H7" s="149">
        <v>80</v>
      </c>
    </row>
    <row r="8" spans="1:7" ht="7.5" customHeight="1">
      <c r="A8" s="150"/>
      <c r="B8" s="150"/>
      <c r="C8" s="150"/>
      <c r="D8" s="150"/>
      <c r="E8" s="150"/>
      <c r="F8" s="151"/>
      <c r="G8" s="138"/>
    </row>
    <row r="9" spans="1:7" ht="12.75">
      <c r="A9" s="152">
        <v>28</v>
      </c>
      <c r="B9" s="152">
        <v>600</v>
      </c>
      <c r="C9" s="201">
        <v>0</v>
      </c>
      <c r="D9" s="153">
        <f>C9/C20*100</f>
        <v>0</v>
      </c>
      <c r="E9" s="153">
        <f>D9</f>
        <v>0</v>
      </c>
      <c r="F9" s="154">
        <f aca="true" t="shared" si="0" ref="F9:F19">100-E9</f>
        <v>100</v>
      </c>
      <c r="G9" s="155"/>
    </row>
    <row r="10" spans="1:7" ht="12.75">
      <c r="A10" s="152">
        <v>35</v>
      </c>
      <c r="B10" s="152">
        <v>425</v>
      </c>
      <c r="C10" s="201">
        <v>0</v>
      </c>
      <c r="D10" s="153">
        <f>C10/C20*100</f>
        <v>0</v>
      </c>
      <c r="E10" s="153">
        <f aca="true" t="shared" si="1" ref="E10:E19">E9+D10</f>
        <v>0</v>
      </c>
      <c r="F10" s="154">
        <f t="shared" si="0"/>
        <v>100</v>
      </c>
      <c r="G10" s="155"/>
    </row>
    <row r="11" spans="1:7" ht="12.75">
      <c r="A11" s="152">
        <v>48</v>
      </c>
      <c r="B11" s="152">
        <v>300</v>
      </c>
      <c r="C11" s="201">
        <v>0</v>
      </c>
      <c r="D11" s="153">
        <f>C11/C20*100</f>
        <v>0</v>
      </c>
      <c r="E11" s="153">
        <f t="shared" si="1"/>
        <v>0</v>
      </c>
      <c r="F11" s="154">
        <f t="shared" si="0"/>
        <v>100</v>
      </c>
      <c r="G11" s="155"/>
    </row>
    <row r="12" spans="1:7" ht="12.75">
      <c r="A12" s="152">
        <v>65</v>
      </c>
      <c r="B12" s="152">
        <v>212</v>
      </c>
      <c r="C12" s="201">
        <v>0</v>
      </c>
      <c r="D12" s="153">
        <f>C12/C20*100</f>
        <v>0</v>
      </c>
      <c r="E12" s="153">
        <f t="shared" si="1"/>
        <v>0</v>
      </c>
      <c r="F12" s="154">
        <f t="shared" si="0"/>
        <v>100</v>
      </c>
      <c r="G12" s="155"/>
    </row>
    <row r="13" spans="1:9" ht="12.75">
      <c r="A13" s="152">
        <v>100</v>
      </c>
      <c r="B13" s="152">
        <v>150</v>
      </c>
      <c r="C13" s="201">
        <v>7.3</v>
      </c>
      <c r="D13" s="153">
        <f>C13/C20*100</f>
        <v>2.453781512605042</v>
      </c>
      <c r="E13" s="153">
        <f t="shared" si="1"/>
        <v>2.453781512605042</v>
      </c>
      <c r="F13" s="154">
        <f t="shared" si="0"/>
        <v>97.54621848739495</v>
      </c>
      <c r="G13" s="155"/>
      <c r="I13" s="453"/>
    </row>
    <row r="14" spans="1:10" ht="12.75">
      <c r="A14" s="152">
        <v>150</v>
      </c>
      <c r="B14" s="152">
        <v>106</v>
      </c>
      <c r="C14" s="201">
        <v>37.2</v>
      </c>
      <c r="D14" s="153">
        <f>C14/C20*100</f>
        <v>12.504201680672269</v>
      </c>
      <c r="E14" s="153">
        <f t="shared" si="1"/>
        <v>14.957983193277311</v>
      </c>
      <c r="F14" s="154">
        <f t="shared" si="0"/>
        <v>85.04201680672269</v>
      </c>
      <c r="G14" s="155"/>
      <c r="J14" s="183"/>
    </row>
    <row r="15" spans="1:7" ht="12.75">
      <c r="A15" s="152">
        <v>200</v>
      </c>
      <c r="B15" s="152">
        <v>75</v>
      </c>
      <c r="C15" s="201">
        <v>65.6</v>
      </c>
      <c r="D15" s="153">
        <f>C15/C20*100</f>
        <v>22.050420168067227</v>
      </c>
      <c r="E15" s="153">
        <f t="shared" si="1"/>
        <v>37.008403361344534</v>
      </c>
      <c r="F15" s="154">
        <f t="shared" si="0"/>
        <v>62.991596638655466</v>
      </c>
      <c r="G15" s="155"/>
    </row>
    <row r="16" spans="1:7" ht="12.75">
      <c r="A16" s="152">
        <v>270</v>
      </c>
      <c r="B16" s="152">
        <v>53</v>
      </c>
      <c r="C16" s="201">
        <v>46.7</v>
      </c>
      <c r="D16" s="153">
        <f>C16/C20*100</f>
        <v>15.69747899159664</v>
      </c>
      <c r="E16" s="153">
        <f t="shared" si="1"/>
        <v>52.705882352941174</v>
      </c>
      <c r="F16" s="154">
        <f t="shared" si="0"/>
        <v>47.294117647058826</v>
      </c>
      <c r="G16" s="155"/>
    </row>
    <row r="17" spans="1:7" ht="12.75">
      <c r="A17" s="152">
        <v>400</v>
      </c>
      <c r="B17" s="152">
        <v>38</v>
      </c>
      <c r="C17" s="201">
        <v>38</v>
      </c>
      <c r="D17" s="153">
        <f>C17/C20*100</f>
        <v>12.773109243697478</v>
      </c>
      <c r="E17" s="153">
        <f t="shared" si="1"/>
        <v>65.47899159663865</v>
      </c>
      <c r="F17" s="154">
        <f t="shared" si="0"/>
        <v>34.52100840336135</v>
      </c>
      <c r="G17" s="155"/>
    </row>
    <row r="18" spans="1:7" ht="12.75">
      <c r="A18" s="152">
        <v>500</v>
      </c>
      <c r="B18" s="152">
        <v>25</v>
      </c>
      <c r="C18" s="201">
        <v>22.4</v>
      </c>
      <c r="D18" s="153">
        <f>C18/C20*100</f>
        <v>7.529411764705881</v>
      </c>
      <c r="E18" s="153">
        <f t="shared" si="1"/>
        <v>73.00840336134453</v>
      </c>
      <c r="F18" s="154">
        <f t="shared" si="0"/>
        <v>26.991596638655466</v>
      </c>
      <c r="G18" s="155"/>
    </row>
    <row r="19" spans="1:7" ht="12.75">
      <c r="A19" s="152" t="s">
        <v>71</v>
      </c>
      <c r="B19" s="152">
        <f>-B18</f>
        <v>-25</v>
      </c>
      <c r="C19" s="153">
        <v>80.3</v>
      </c>
      <c r="D19" s="153">
        <f>C19/C20*100</f>
        <v>26.991596638655462</v>
      </c>
      <c r="E19" s="153">
        <f t="shared" si="1"/>
        <v>100</v>
      </c>
      <c r="F19" s="154">
        <f t="shared" si="0"/>
        <v>0</v>
      </c>
      <c r="G19" s="155"/>
    </row>
    <row r="20" spans="1:7" ht="12.75">
      <c r="A20" s="156" t="s">
        <v>36</v>
      </c>
      <c r="B20" s="156" t="s">
        <v>72</v>
      </c>
      <c r="C20" s="157">
        <v>297.5</v>
      </c>
      <c r="D20" s="153">
        <f>SUM(D9:D19)</f>
        <v>100</v>
      </c>
      <c r="E20" s="156" t="s">
        <v>72</v>
      </c>
      <c r="F20" s="158" t="s">
        <v>72</v>
      </c>
      <c r="G20" s="138"/>
    </row>
    <row r="21" spans="1:6" ht="12.75">
      <c r="A21" s="159" t="str">
        <f>"K"&amp;H7</f>
        <v>K80</v>
      </c>
      <c r="B21" s="160">
        <f>C101</f>
        <v>98.7896217652952</v>
      </c>
      <c r="C21" s="161"/>
      <c r="D21" s="162"/>
      <c r="E21" s="161"/>
      <c r="F21" s="163"/>
    </row>
    <row r="22" spans="1:6" ht="12.75">
      <c r="A22" s="164"/>
      <c r="B22" s="165"/>
      <c r="C22" s="166"/>
      <c r="D22" s="167"/>
      <c r="E22" s="166"/>
      <c r="F22" s="166"/>
    </row>
    <row r="23" spans="1:6" ht="12.75">
      <c r="A23" s="164"/>
      <c r="B23" s="165"/>
      <c r="C23" s="166"/>
      <c r="D23" s="167"/>
      <c r="E23" s="166"/>
      <c r="F23" s="166"/>
    </row>
    <row r="24" spans="1:6" ht="12.75">
      <c r="A24" s="164"/>
      <c r="B24" s="165"/>
      <c r="C24" s="166"/>
      <c r="D24" s="167"/>
      <c r="E24" s="166"/>
      <c r="F24" s="166"/>
    </row>
    <row r="25" ht="7.5" customHeight="1"/>
    <row r="29" spans="8:9" ht="12.75">
      <c r="H29" s="168" t="s">
        <v>73</v>
      </c>
      <c r="I29" s="169"/>
    </row>
    <row r="30" spans="8:9" ht="12.75">
      <c r="H30" s="170">
        <v>10</v>
      </c>
      <c r="I30" s="171">
        <f>H7</f>
        <v>80</v>
      </c>
    </row>
    <row r="31" spans="8:9" ht="12.75">
      <c r="H31" s="171">
        <f>B21</f>
        <v>98.7896217652952</v>
      </c>
      <c r="I31" s="170">
        <f>I30</f>
        <v>80</v>
      </c>
    </row>
    <row r="32" spans="8:9" ht="12.75">
      <c r="H32" s="171">
        <f>H31</f>
        <v>98.7896217652952</v>
      </c>
      <c r="I32" s="170">
        <v>0</v>
      </c>
    </row>
    <row r="33" spans="8:9" ht="12.75">
      <c r="H33" s="172"/>
      <c r="I33" s="172"/>
    </row>
    <row r="34" spans="8:9" ht="12.75">
      <c r="H34" s="173" t="str">
        <f>A21&amp;" = "&amp;ROUND(B21,0)&amp;" µm"</f>
        <v>K80 = 99 µm</v>
      </c>
      <c r="I34" s="172"/>
    </row>
    <row r="36" ht="12.75"/>
    <row r="37" ht="12.75"/>
    <row r="38" ht="12.75"/>
    <row r="45" spans="2:3" ht="12.75">
      <c r="B45" s="174">
        <f>H7</f>
        <v>80</v>
      </c>
      <c r="C45" s="175" t="s">
        <v>74</v>
      </c>
    </row>
    <row r="46" spans="1:3" ht="12.75">
      <c r="A46" s="141">
        <v>34</v>
      </c>
      <c r="B46" s="176">
        <f>F$18</f>
        <v>26.991596638655466</v>
      </c>
      <c r="C46" s="177">
        <f>10^C74</f>
        <v>158.83440589170516</v>
      </c>
    </row>
    <row r="47" spans="1:3" ht="12.75">
      <c r="A47" s="141">
        <f>A46-1</f>
        <v>33</v>
      </c>
      <c r="B47" s="176">
        <f>F$17</f>
        <v>34.52100840336135</v>
      </c>
      <c r="C47" s="177">
        <f aca="true" t="shared" si="2" ref="C47:C71">10^C75</f>
        <v>92.3697418345071</v>
      </c>
    </row>
    <row r="48" spans="1:3" ht="12.75">
      <c r="A48" s="141">
        <f aca="true" t="shared" si="3" ref="A48:A71">A47-1</f>
        <v>32</v>
      </c>
      <c r="B48" s="176">
        <f>F$16</f>
        <v>47.294117647058826</v>
      </c>
      <c r="C48" s="177">
        <f t="shared" si="2"/>
        <v>100.18668295651156</v>
      </c>
    </row>
    <row r="49" spans="1:3" ht="12.75">
      <c r="A49" s="141">
        <f t="shared" si="3"/>
        <v>31</v>
      </c>
      <c r="B49" s="176">
        <f>F$15</f>
        <v>62.991596638655466</v>
      </c>
      <c r="C49" s="177">
        <f t="shared" si="2"/>
        <v>98.7896217652952</v>
      </c>
    </row>
    <row r="50" spans="1:3" ht="12.75">
      <c r="A50" s="141">
        <f t="shared" si="3"/>
        <v>30</v>
      </c>
      <c r="B50" s="176">
        <f>F$14</f>
        <v>85.04201680672269</v>
      </c>
      <c r="C50" s="177">
        <f t="shared" si="2"/>
        <v>90.80834404612276</v>
      </c>
    </row>
    <row r="51" spans="1:3" ht="12.75">
      <c r="A51" s="141">
        <f t="shared" si="3"/>
        <v>29</v>
      </c>
      <c r="B51" s="176">
        <f>F$13</f>
        <v>97.54621848739495</v>
      </c>
      <c r="C51" s="177">
        <f t="shared" si="2"/>
        <v>9.481223080127869</v>
      </c>
    </row>
    <row r="52" spans="1:3" ht="12.75">
      <c r="A52" s="141">
        <f t="shared" si="3"/>
        <v>28</v>
      </c>
      <c r="B52" s="176">
        <f>F$12</f>
        <v>100</v>
      </c>
      <c r="C52" s="177" t="e">
        <f t="shared" si="2"/>
        <v>#DIV/0!</v>
      </c>
    </row>
    <row r="53" spans="1:3" ht="12.75">
      <c r="A53" s="141">
        <f t="shared" si="3"/>
        <v>27</v>
      </c>
      <c r="B53" s="176">
        <f>F$11</f>
        <v>100</v>
      </c>
      <c r="C53" s="177" t="e">
        <f t="shared" si="2"/>
        <v>#DIV/0!</v>
      </c>
    </row>
    <row r="54" spans="1:3" ht="12.75">
      <c r="A54" s="141">
        <f t="shared" si="3"/>
        <v>26</v>
      </c>
      <c r="B54" s="176">
        <f>F$10</f>
        <v>100</v>
      </c>
      <c r="C54" s="177" t="e">
        <f t="shared" si="2"/>
        <v>#DIV/0!</v>
      </c>
    </row>
    <row r="55" spans="1:3" ht="12.75">
      <c r="A55" s="141">
        <f t="shared" si="3"/>
        <v>25</v>
      </c>
      <c r="B55" s="176">
        <f>F$9</f>
        <v>100</v>
      </c>
      <c r="C55" s="177" t="e">
        <f t="shared" si="2"/>
        <v>#REF!</v>
      </c>
    </row>
    <row r="56" spans="1:3" ht="12.75">
      <c r="A56" s="141">
        <f t="shared" si="3"/>
        <v>24</v>
      </c>
      <c r="B56" s="176" t="e">
        <f>#REF!</f>
        <v>#REF!</v>
      </c>
      <c r="C56" s="177" t="e">
        <f t="shared" si="2"/>
        <v>#REF!</v>
      </c>
    </row>
    <row r="57" spans="1:3" ht="12.75">
      <c r="A57" s="141">
        <f t="shared" si="3"/>
        <v>23</v>
      </c>
      <c r="B57" s="176" t="e">
        <f>#REF!</f>
        <v>#REF!</v>
      </c>
      <c r="C57" s="177" t="e">
        <f>10^C85</f>
        <v>#REF!</v>
      </c>
    </row>
    <row r="58" spans="1:3" ht="12.75">
      <c r="A58" s="141">
        <f t="shared" si="3"/>
        <v>22</v>
      </c>
      <c r="B58" s="176" t="e">
        <f>#REF!</f>
        <v>#REF!</v>
      </c>
      <c r="C58" s="177" t="e">
        <f t="shared" si="2"/>
        <v>#REF!</v>
      </c>
    </row>
    <row r="59" spans="1:3" ht="12.75">
      <c r="A59" s="141">
        <f t="shared" si="3"/>
        <v>21</v>
      </c>
      <c r="B59" s="176" t="e">
        <f>#REF!</f>
        <v>#REF!</v>
      </c>
      <c r="C59" s="177" t="e">
        <f t="shared" si="2"/>
        <v>#REF!</v>
      </c>
    </row>
    <row r="60" spans="1:3" ht="12.75">
      <c r="A60" s="141">
        <f t="shared" si="3"/>
        <v>20</v>
      </c>
      <c r="B60" s="176" t="e">
        <f>#REF!</f>
        <v>#REF!</v>
      </c>
      <c r="C60" s="177" t="e">
        <f t="shared" si="2"/>
        <v>#REF!</v>
      </c>
    </row>
    <row r="61" spans="1:3" ht="12.75">
      <c r="A61" s="141">
        <f t="shared" si="3"/>
        <v>19</v>
      </c>
      <c r="B61" s="176" t="e">
        <f>#REF!</f>
        <v>#REF!</v>
      </c>
      <c r="C61" s="177" t="e">
        <f t="shared" si="2"/>
        <v>#REF!</v>
      </c>
    </row>
    <row r="62" spans="1:3" ht="12.75">
      <c r="A62" s="141">
        <f t="shared" si="3"/>
        <v>18</v>
      </c>
      <c r="B62" s="176" t="e">
        <f>#REF!</f>
        <v>#REF!</v>
      </c>
      <c r="C62" s="177" t="e">
        <f t="shared" si="2"/>
        <v>#REF!</v>
      </c>
    </row>
    <row r="63" spans="1:3" ht="12.75">
      <c r="A63" s="141">
        <f t="shared" si="3"/>
        <v>17</v>
      </c>
      <c r="B63" s="176" t="e">
        <f>#REF!</f>
        <v>#REF!</v>
      </c>
      <c r="C63" s="177" t="e">
        <f t="shared" si="2"/>
        <v>#REF!</v>
      </c>
    </row>
    <row r="64" spans="1:3" ht="12.75">
      <c r="A64" s="141">
        <f t="shared" si="3"/>
        <v>16</v>
      </c>
      <c r="B64" s="176" t="e">
        <f>#REF!</f>
        <v>#REF!</v>
      </c>
      <c r="C64" s="177" t="e">
        <f t="shared" si="2"/>
        <v>#REF!</v>
      </c>
    </row>
    <row r="65" spans="1:3" ht="12.75">
      <c r="A65" s="141">
        <f t="shared" si="3"/>
        <v>15</v>
      </c>
      <c r="B65" s="176" t="e">
        <f>#REF!</f>
        <v>#REF!</v>
      </c>
      <c r="C65" s="177" t="e">
        <f t="shared" si="2"/>
        <v>#REF!</v>
      </c>
    </row>
    <row r="66" spans="1:3" ht="12.75">
      <c r="A66" s="141">
        <f t="shared" si="3"/>
        <v>14</v>
      </c>
      <c r="B66" s="176" t="e">
        <f>#REF!</f>
        <v>#REF!</v>
      </c>
      <c r="C66" s="177" t="e">
        <f t="shared" si="2"/>
        <v>#REF!</v>
      </c>
    </row>
    <row r="67" spans="1:3" ht="12.75">
      <c r="A67" s="141">
        <f t="shared" si="3"/>
        <v>13</v>
      </c>
      <c r="B67" s="176" t="e">
        <f>#REF!</f>
        <v>#REF!</v>
      </c>
      <c r="C67" s="177" t="e">
        <f t="shared" si="2"/>
        <v>#REF!</v>
      </c>
    </row>
    <row r="68" spans="1:3" ht="12.75">
      <c r="A68" s="141">
        <f t="shared" si="3"/>
        <v>12</v>
      </c>
      <c r="B68" s="176" t="e">
        <f>#REF!</f>
        <v>#REF!</v>
      </c>
      <c r="C68" s="177" t="e">
        <f t="shared" si="2"/>
        <v>#REF!</v>
      </c>
    </row>
    <row r="69" spans="1:3" ht="12.75">
      <c r="A69" s="141">
        <f t="shared" si="3"/>
        <v>11</v>
      </c>
      <c r="B69" s="176" t="e">
        <f>#REF!</f>
        <v>#REF!</v>
      </c>
      <c r="C69" s="177" t="e">
        <f t="shared" si="2"/>
        <v>#REF!</v>
      </c>
    </row>
    <row r="70" spans="1:3" ht="12.75">
      <c r="A70" s="141">
        <f t="shared" si="3"/>
        <v>10</v>
      </c>
      <c r="B70" s="176" t="e">
        <f>#REF!</f>
        <v>#REF!</v>
      </c>
      <c r="C70" s="177" t="e">
        <f t="shared" si="2"/>
        <v>#REF!</v>
      </c>
    </row>
    <row r="71" spans="1:3" ht="12.75">
      <c r="A71" s="141">
        <f t="shared" si="3"/>
        <v>9</v>
      </c>
      <c r="B71" s="176" t="e">
        <f>#REF!</f>
        <v>#REF!</v>
      </c>
      <c r="C71" s="177" t="e">
        <f t="shared" si="2"/>
        <v>#REF!</v>
      </c>
    </row>
    <row r="72" spans="2:3" ht="12.75">
      <c r="B72" s="176"/>
      <c r="C72" s="175"/>
    </row>
    <row r="73" spans="2:3" ht="12.75">
      <c r="B73" s="174"/>
      <c r="C73" s="175"/>
    </row>
    <row r="74" spans="1:3" ht="12.75">
      <c r="A74" s="178">
        <f>A75+1</f>
        <v>34</v>
      </c>
      <c r="B74" s="179">
        <f>B18</f>
        <v>25</v>
      </c>
      <c r="C74" s="177">
        <f aca="true" t="shared" si="4" ref="C74:C99">(LOG(B$45)-LOG(B46))/(LOG(B47)-LOG(B46))*(LOG(B75)-LOG(B74))+LOG(B74)</f>
        <v>2.2009445829174927</v>
      </c>
    </row>
    <row r="75" spans="1:3" ht="12.75">
      <c r="A75" s="178">
        <f>A76+1</f>
        <v>33</v>
      </c>
      <c r="B75" s="179">
        <f>B17</f>
        <v>38</v>
      </c>
      <c r="C75" s="177">
        <f t="shared" si="4"/>
        <v>1.96552972980879</v>
      </c>
    </row>
    <row r="76" spans="1:3" ht="12.75">
      <c r="A76" s="178">
        <f>A77+1</f>
        <v>32</v>
      </c>
      <c r="B76" s="179">
        <f>B16</f>
        <v>53</v>
      </c>
      <c r="C76" s="177">
        <f t="shared" si="4"/>
        <v>2.0008099979497445</v>
      </c>
    </row>
    <row r="77" spans="1:3" ht="12.75">
      <c r="A77" s="178">
        <f>A78+1</f>
        <v>31</v>
      </c>
      <c r="B77" s="179">
        <f>B15</f>
        <v>75</v>
      </c>
      <c r="C77" s="177">
        <f t="shared" si="4"/>
        <v>1.9947113226563942</v>
      </c>
    </row>
    <row r="78" spans="1:3" ht="12.75">
      <c r="A78" s="178">
        <f aca="true" t="shared" si="5" ref="A78:A97">A79+1</f>
        <v>30</v>
      </c>
      <c r="B78" s="179">
        <f>B14</f>
        <v>106</v>
      </c>
      <c r="C78" s="177">
        <f t="shared" si="4"/>
        <v>1.9581257560838068</v>
      </c>
    </row>
    <row r="79" spans="1:3" ht="12.75">
      <c r="A79" s="178">
        <f t="shared" si="5"/>
        <v>29</v>
      </c>
      <c r="B79" s="179">
        <f>B13</f>
        <v>150</v>
      </c>
      <c r="C79" s="177">
        <f t="shared" si="4"/>
        <v>0.9768643650477715</v>
      </c>
    </row>
    <row r="80" spans="1:3" ht="12.75">
      <c r="A80" s="178">
        <f t="shared" si="5"/>
        <v>28</v>
      </c>
      <c r="B80" s="179">
        <f>B12</f>
        <v>212</v>
      </c>
      <c r="C80" s="177" t="e">
        <f t="shared" si="4"/>
        <v>#DIV/0!</v>
      </c>
    </row>
    <row r="81" spans="1:3" ht="12.75">
      <c r="A81" s="178">
        <f t="shared" si="5"/>
        <v>27</v>
      </c>
      <c r="B81" s="179">
        <f>B11</f>
        <v>300</v>
      </c>
      <c r="C81" s="177" t="e">
        <f t="shared" si="4"/>
        <v>#DIV/0!</v>
      </c>
    </row>
    <row r="82" spans="1:3" ht="12.75">
      <c r="A82" s="178">
        <f t="shared" si="5"/>
        <v>26</v>
      </c>
      <c r="B82" s="179">
        <f>B10</f>
        <v>425</v>
      </c>
      <c r="C82" s="177" t="e">
        <f t="shared" si="4"/>
        <v>#DIV/0!</v>
      </c>
    </row>
    <row r="83" spans="1:3" ht="12.75">
      <c r="A83" s="178">
        <f t="shared" si="5"/>
        <v>25</v>
      </c>
      <c r="B83" s="179">
        <f>B9</f>
        <v>600</v>
      </c>
      <c r="C83" s="177" t="e">
        <f t="shared" si="4"/>
        <v>#REF!</v>
      </c>
    </row>
    <row r="84" spans="1:3" ht="12.75">
      <c r="A84" s="178">
        <f t="shared" si="5"/>
        <v>24</v>
      </c>
      <c r="B84" s="179" t="e">
        <f>#REF!</f>
        <v>#REF!</v>
      </c>
      <c r="C84" s="177" t="e">
        <f t="shared" si="4"/>
        <v>#REF!</v>
      </c>
    </row>
    <row r="85" spans="1:3" ht="12.75">
      <c r="A85" s="178">
        <f t="shared" si="5"/>
        <v>23</v>
      </c>
      <c r="B85" s="179" t="e">
        <f>#REF!</f>
        <v>#REF!</v>
      </c>
      <c r="C85" s="177" t="e">
        <f t="shared" si="4"/>
        <v>#REF!</v>
      </c>
    </row>
    <row r="86" spans="1:3" ht="12.75">
      <c r="A86" s="178">
        <f t="shared" si="5"/>
        <v>22</v>
      </c>
      <c r="B86" s="179" t="e">
        <f>#REF!</f>
        <v>#REF!</v>
      </c>
      <c r="C86" s="177" t="e">
        <f t="shared" si="4"/>
        <v>#REF!</v>
      </c>
    </row>
    <row r="87" spans="1:3" ht="12.75">
      <c r="A87" s="178">
        <f t="shared" si="5"/>
        <v>21</v>
      </c>
      <c r="B87" s="179" t="e">
        <f>#REF!</f>
        <v>#REF!</v>
      </c>
      <c r="C87" s="177" t="e">
        <f t="shared" si="4"/>
        <v>#REF!</v>
      </c>
    </row>
    <row r="88" spans="1:3" ht="12.75">
      <c r="A88" s="178">
        <f t="shared" si="5"/>
        <v>20</v>
      </c>
      <c r="B88" s="179" t="e">
        <f>#REF!</f>
        <v>#REF!</v>
      </c>
      <c r="C88" s="177" t="e">
        <f t="shared" si="4"/>
        <v>#REF!</v>
      </c>
    </row>
    <row r="89" spans="1:3" ht="12.75">
      <c r="A89" s="178">
        <f t="shared" si="5"/>
        <v>19</v>
      </c>
      <c r="B89" s="179" t="e">
        <f>#REF!</f>
        <v>#REF!</v>
      </c>
      <c r="C89" s="177" t="e">
        <f t="shared" si="4"/>
        <v>#REF!</v>
      </c>
    </row>
    <row r="90" spans="1:3" ht="12.75">
      <c r="A90" s="178">
        <f t="shared" si="5"/>
        <v>18</v>
      </c>
      <c r="B90" s="179" t="e">
        <f>#REF!</f>
        <v>#REF!</v>
      </c>
      <c r="C90" s="177" t="e">
        <f t="shared" si="4"/>
        <v>#REF!</v>
      </c>
    </row>
    <row r="91" spans="1:3" ht="12.75">
      <c r="A91" s="178">
        <f t="shared" si="5"/>
        <v>17</v>
      </c>
      <c r="B91" s="179" t="e">
        <f>#REF!</f>
        <v>#REF!</v>
      </c>
      <c r="C91" s="177" t="e">
        <f t="shared" si="4"/>
        <v>#REF!</v>
      </c>
    </row>
    <row r="92" spans="1:3" ht="12.75">
      <c r="A92" s="178">
        <f t="shared" si="5"/>
        <v>16</v>
      </c>
      <c r="B92" s="179" t="e">
        <f>#REF!</f>
        <v>#REF!</v>
      </c>
      <c r="C92" s="177" t="e">
        <f t="shared" si="4"/>
        <v>#REF!</v>
      </c>
    </row>
    <row r="93" spans="1:3" ht="12.75">
      <c r="A93" s="178">
        <f t="shared" si="5"/>
        <v>15</v>
      </c>
      <c r="B93" s="179" t="e">
        <f>#REF!</f>
        <v>#REF!</v>
      </c>
      <c r="C93" s="177" t="e">
        <f t="shared" si="4"/>
        <v>#REF!</v>
      </c>
    </row>
    <row r="94" spans="1:3" ht="12.75">
      <c r="A94" s="178">
        <f t="shared" si="5"/>
        <v>14</v>
      </c>
      <c r="B94" s="179" t="e">
        <f>#REF!</f>
        <v>#REF!</v>
      </c>
      <c r="C94" s="177" t="e">
        <f t="shared" si="4"/>
        <v>#REF!</v>
      </c>
    </row>
    <row r="95" spans="1:3" ht="12.75">
      <c r="A95" s="178">
        <f t="shared" si="5"/>
        <v>13</v>
      </c>
      <c r="B95" s="179" t="e">
        <f>#REF!</f>
        <v>#REF!</v>
      </c>
      <c r="C95" s="177" t="e">
        <f t="shared" si="4"/>
        <v>#REF!</v>
      </c>
    </row>
    <row r="96" spans="1:3" ht="12.75">
      <c r="A96" s="178">
        <f t="shared" si="5"/>
        <v>12</v>
      </c>
      <c r="B96" s="179" t="e">
        <f>#REF!</f>
        <v>#REF!</v>
      </c>
      <c r="C96" s="177" t="e">
        <f t="shared" si="4"/>
        <v>#REF!</v>
      </c>
    </row>
    <row r="97" spans="1:3" ht="12.75">
      <c r="A97" s="178">
        <f t="shared" si="5"/>
        <v>11</v>
      </c>
      <c r="B97" s="179" t="e">
        <f>#REF!</f>
        <v>#REF!</v>
      </c>
      <c r="C97" s="177" t="e">
        <f t="shared" si="4"/>
        <v>#REF!</v>
      </c>
    </row>
    <row r="98" spans="1:3" ht="12.75">
      <c r="A98" s="178">
        <f>A99+1</f>
        <v>10</v>
      </c>
      <c r="B98" s="179" t="e">
        <f>#REF!</f>
        <v>#REF!</v>
      </c>
      <c r="C98" s="177" t="e">
        <f t="shared" si="4"/>
        <v>#REF!</v>
      </c>
    </row>
    <row r="99" spans="1:3" ht="12.75">
      <c r="A99" s="178">
        <v>9</v>
      </c>
      <c r="B99" s="179" t="e">
        <f>#REF!</f>
        <v>#REF!</v>
      </c>
      <c r="C99" s="177" t="e">
        <f t="shared" si="4"/>
        <v>#REF!</v>
      </c>
    </row>
    <row r="100" spans="2:3" ht="12.75">
      <c r="B100" s="175"/>
      <c r="C100" s="175"/>
    </row>
    <row r="101" spans="2:3" ht="12.75">
      <c r="B101" s="175"/>
      <c r="C101" s="180">
        <f>VLOOKUP($B45,B46:C71,2)</f>
        <v>98.7896217652952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PageLayoutView="0" workbookViewId="0" topLeftCell="A1">
      <selection activeCell="C20" sqref="C9:C20"/>
    </sheetView>
  </sheetViews>
  <sheetFormatPr defaultColWidth="10.7109375" defaultRowHeight="12.75"/>
  <cols>
    <col min="1" max="6" width="11.7109375" style="141" customWidth="1"/>
    <col min="7" max="16384" width="10.7109375" style="141" customWidth="1"/>
  </cols>
  <sheetData>
    <row r="1" spans="1:6" s="1" customFormat="1" ht="12.75">
      <c r="A1" s="137"/>
      <c r="B1" s="138"/>
      <c r="C1" s="139" t="s">
        <v>59</v>
      </c>
      <c r="D1" s="140"/>
      <c r="E1" s="138"/>
      <c r="F1" s="141" t="s">
        <v>60</v>
      </c>
    </row>
    <row r="2" spans="1:6" s="1" customFormat="1" ht="12.75">
      <c r="A2" s="181" t="str">
        <f>'E-GRG-1'!H2</f>
        <v>Fraser</v>
      </c>
      <c r="B2" s="138"/>
      <c r="C2" s="139" t="s">
        <v>61</v>
      </c>
      <c r="D2" s="140"/>
      <c r="E2" s="138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116</v>
      </c>
      <c r="C4" s="2"/>
      <c r="D4" s="2" t="s">
        <v>63</v>
      </c>
      <c r="E4" s="3" t="s">
        <v>110</v>
      </c>
      <c r="F4" s="4"/>
    </row>
    <row r="5" spans="1:6" ht="9" customHeight="1" thickBot="1">
      <c r="A5" s="138"/>
      <c r="B5" s="138"/>
      <c r="C5" s="138"/>
      <c r="D5" s="138"/>
      <c r="E5" s="138"/>
      <c r="F5" s="138"/>
    </row>
    <row r="6" spans="1:8" ht="12.75">
      <c r="A6" s="142" t="s">
        <v>24</v>
      </c>
      <c r="B6" s="143"/>
      <c r="C6" s="144" t="s">
        <v>64</v>
      </c>
      <c r="D6" s="142" t="s">
        <v>65</v>
      </c>
      <c r="E6" s="143"/>
      <c r="F6" s="145" t="s">
        <v>66</v>
      </c>
      <c r="G6" s="138"/>
      <c r="H6" s="146" t="s">
        <v>67</v>
      </c>
    </row>
    <row r="7" spans="1:8" ht="13.5" thickBot="1">
      <c r="A7" s="147" t="s">
        <v>30</v>
      </c>
      <c r="B7" s="147" t="s">
        <v>68</v>
      </c>
      <c r="C7" s="147" t="s">
        <v>12</v>
      </c>
      <c r="D7" s="147" t="s">
        <v>69</v>
      </c>
      <c r="E7" s="147" t="s">
        <v>70</v>
      </c>
      <c r="F7" s="148" t="s">
        <v>70</v>
      </c>
      <c r="G7" s="138"/>
      <c r="H7" s="149">
        <v>80</v>
      </c>
    </row>
    <row r="8" spans="1:7" ht="7.5" customHeight="1">
      <c r="A8" s="150"/>
      <c r="B8" s="150"/>
      <c r="C8" s="150"/>
      <c r="D8" s="150"/>
      <c r="E8" s="150"/>
      <c r="F8" s="151"/>
      <c r="G8" s="138"/>
    </row>
    <row r="9" spans="1:7" ht="12.75">
      <c r="A9" s="152">
        <v>28</v>
      </c>
      <c r="B9" s="152">
        <v>600</v>
      </c>
      <c r="C9" s="201">
        <v>0</v>
      </c>
      <c r="D9" s="153">
        <f>C9/C20*100</f>
        <v>0</v>
      </c>
      <c r="E9" s="153">
        <f>D9</f>
        <v>0</v>
      </c>
      <c r="F9" s="154">
        <f aca="true" t="shared" si="0" ref="F9:F19">100-E9</f>
        <v>100</v>
      </c>
      <c r="G9" s="155"/>
    </row>
    <row r="10" spans="1:7" ht="12.75">
      <c r="A10" s="152">
        <v>35</v>
      </c>
      <c r="B10" s="152">
        <v>425</v>
      </c>
      <c r="C10" s="201">
        <v>0</v>
      </c>
      <c r="D10" s="153">
        <f>C10/C20*100</f>
        <v>0</v>
      </c>
      <c r="E10" s="153">
        <f aca="true" t="shared" si="1" ref="E10:E19">E9+D10</f>
        <v>0</v>
      </c>
      <c r="F10" s="154">
        <f t="shared" si="0"/>
        <v>100</v>
      </c>
      <c r="G10" s="155"/>
    </row>
    <row r="11" spans="1:10" ht="12.75">
      <c r="A11" s="152">
        <v>48</v>
      </c>
      <c r="B11" s="152">
        <v>300</v>
      </c>
      <c r="C11" s="201">
        <v>0</v>
      </c>
      <c r="D11" s="153">
        <f>C11/C20*100</f>
        <v>0</v>
      </c>
      <c r="E11" s="153">
        <f t="shared" si="1"/>
        <v>0</v>
      </c>
      <c r="F11" s="154">
        <f t="shared" si="0"/>
        <v>100</v>
      </c>
      <c r="G11" s="155"/>
      <c r="J11" s="453"/>
    </row>
    <row r="12" spans="1:7" ht="12.75">
      <c r="A12" s="152">
        <v>65</v>
      </c>
      <c r="B12" s="152">
        <v>212</v>
      </c>
      <c r="C12" s="201">
        <v>0</v>
      </c>
      <c r="D12" s="153">
        <f>C12/C20*100</f>
        <v>0</v>
      </c>
      <c r="E12" s="153">
        <f t="shared" si="1"/>
        <v>0</v>
      </c>
      <c r="F12" s="154">
        <f t="shared" si="0"/>
        <v>100</v>
      </c>
      <c r="G12" s="155"/>
    </row>
    <row r="13" spans="1:9" ht="12.75">
      <c r="A13" s="152">
        <v>100</v>
      </c>
      <c r="B13" s="152">
        <v>150</v>
      </c>
      <c r="C13" s="201">
        <v>5</v>
      </c>
      <c r="D13" s="153">
        <f>C13/C20*100</f>
        <v>1.6046213093709885</v>
      </c>
      <c r="E13" s="153">
        <f t="shared" si="1"/>
        <v>1.6046213093709885</v>
      </c>
      <c r="F13" s="154">
        <f t="shared" si="0"/>
        <v>98.39537869062902</v>
      </c>
      <c r="G13" s="155"/>
      <c r="I13" s="453"/>
    </row>
    <row r="14" spans="1:10" ht="12.75">
      <c r="A14" s="152">
        <v>150</v>
      </c>
      <c r="B14" s="152">
        <v>106</v>
      </c>
      <c r="C14" s="201">
        <v>33</v>
      </c>
      <c r="D14" s="153">
        <f>C14/C20*100</f>
        <v>10.590500641848523</v>
      </c>
      <c r="E14" s="153">
        <f t="shared" si="1"/>
        <v>12.195121951219512</v>
      </c>
      <c r="F14" s="154">
        <f t="shared" si="0"/>
        <v>87.8048780487805</v>
      </c>
      <c r="G14" s="155"/>
      <c r="J14" s="183"/>
    </row>
    <row r="15" spans="1:7" ht="12.75">
      <c r="A15" s="152">
        <v>200</v>
      </c>
      <c r="B15" s="152">
        <v>75</v>
      </c>
      <c r="C15" s="201">
        <v>70.8</v>
      </c>
      <c r="D15" s="153">
        <f>C15/C20*100</f>
        <v>22.721437740693194</v>
      </c>
      <c r="E15" s="153">
        <f t="shared" si="1"/>
        <v>34.91655969191271</v>
      </c>
      <c r="F15" s="154">
        <f t="shared" si="0"/>
        <v>65.08344030808729</v>
      </c>
      <c r="G15" s="155"/>
    </row>
    <row r="16" spans="1:7" ht="12.75">
      <c r="A16" s="152">
        <v>270</v>
      </c>
      <c r="B16" s="152">
        <v>53</v>
      </c>
      <c r="C16" s="201">
        <v>53.3</v>
      </c>
      <c r="D16" s="153">
        <f>C16/C20*100</f>
        <v>17.105263157894733</v>
      </c>
      <c r="E16" s="153">
        <f t="shared" si="1"/>
        <v>52.02182284980744</v>
      </c>
      <c r="F16" s="154">
        <f t="shared" si="0"/>
        <v>47.97817715019256</v>
      </c>
      <c r="G16" s="155"/>
    </row>
    <row r="17" spans="1:7" ht="12.75">
      <c r="A17" s="152">
        <v>400</v>
      </c>
      <c r="B17" s="152">
        <v>38</v>
      </c>
      <c r="C17" s="201">
        <v>43.3</v>
      </c>
      <c r="D17" s="153">
        <f>C17/C20*100</f>
        <v>13.89602053915276</v>
      </c>
      <c r="E17" s="153">
        <f t="shared" si="1"/>
        <v>65.91784338896021</v>
      </c>
      <c r="F17" s="154">
        <f t="shared" si="0"/>
        <v>34.08215661103979</v>
      </c>
      <c r="G17" s="155"/>
    </row>
    <row r="18" spans="1:7" ht="12.75">
      <c r="A18" s="152">
        <v>500</v>
      </c>
      <c r="B18" s="152">
        <v>25</v>
      </c>
      <c r="C18" s="201">
        <v>24.2</v>
      </c>
      <c r="D18" s="153">
        <f>C18/C20*100</f>
        <v>7.766367137355583</v>
      </c>
      <c r="E18" s="153">
        <f t="shared" si="1"/>
        <v>73.6842105263158</v>
      </c>
      <c r="F18" s="154">
        <f t="shared" si="0"/>
        <v>26.315789473684205</v>
      </c>
      <c r="G18" s="155"/>
    </row>
    <row r="19" spans="1:7" ht="12.75">
      <c r="A19" s="152" t="s">
        <v>71</v>
      </c>
      <c r="B19" s="152">
        <f>-B18</f>
        <v>-25</v>
      </c>
      <c r="C19" s="153">
        <v>81.5</v>
      </c>
      <c r="D19" s="153">
        <f>C19/C20*100</f>
        <v>26.15532734274711</v>
      </c>
      <c r="E19" s="153">
        <f t="shared" si="1"/>
        <v>99.83953786906291</v>
      </c>
      <c r="F19" s="154">
        <f t="shared" si="0"/>
        <v>0.16046213093709127</v>
      </c>
      <c r="G19" s="155"/>
    </row>
    <row r="20" spans="1:7" ht="12.75">
      <c r="A20" s="156" t="s">
        <v>36</v>
      </c>
      <c r="B20" s="156" t="s">
        <v>72</v>
      </c>
      <c r="C20" s="157">
        <v>311.6</v>
      </c>
      <c r="D20" s="153">
        <f>SUM(D9:D19)</f>
        <v>99.83953786906291</v>
      </c>
      <c r="E20" s="156" t="s">
        <v>72</v>
      </c>
      <c r="F20" s="158" t="s">
        <v>72</v>
      </c>
      <c r="G20" s="138"/>
    </row>
    <row r="21" spans="1:6" ht="12.75">
      <c r="A21" s="159" t="str">
        <f>"K"&amp;H7</f>
        <v>K80</v>
      </c>
      <c r="B21" s="160">
        <f>C101</f>
        <v>95.19160360979899</v>
      </c>
      <c r="C21" s="161"/>
      <c r="D21" s="162"/>
      <c r="E21" s="161"/>
      <c r="F21" s="163"/>
    </row>
    <row r="22" spans="1:6" ht="12.75">
      <c r="A22" s="164"/>
      <c r="B22" s="165"/>
      <c r="C22" s="166"/>
      <c r="D22" s="167"/>
      <c r="E22" s="166"/>
      <c r="F22" s="166"/>
    </row>
    <row r="23" spans="1:6" ht="12.75">
      <c r="A23" s="164"/>
      <c r="B23" s="165"/>
      <c r="C23" s="166"/>
      <c r="D23" s="167"/>
      <c r="E23" s="166"/>
      <c r="F23" s="166"/>
    </row>
    <row r="24" spans="1:6" ht="12.75">
      <c r="A24" s="164"/>
      <c r="B24" s="165"/>
      <c r="C24" s="166"/>
      <c r="D24" s="167"/>
      <c r="E24" s="166"/>
      <c r="F24" s="166"/>
    </row>
    <row r="25" ht="7.5" customHeight="1"/>
    <row r="29" spans="8:9" ht="12.75">
      <c r="H29" s="168" t="s">
        <v>73</v>
      </c>
      <c r="I29" s="169"/>
    </row>
    <row r="30" spans="8:9" ht="12.75">
      <c r="H30" s="170">
        <v>10</v>
      </c>
      <c r="I30" s="171">
        <f>H7</f>
        <v>80</v>
      </c>
    </row>
    <row r="31" spans="8:9" ht="12.75">
      <c r="H31" s="171">
        <f>B21</f>
        <v>95.19160360979899</v>
      </c>
      <c r="I31" s="170">
        <f>I30</f>
        <v>80</v>
      </c>
    </row>
    <row r="32" spans="8:9" ht="12.75">
      <c r="H32" s="171">
        <f>H31</f>
        <v>95.19160360979899</v>
      </c>
      <c r="I32" s="170">
        <v>0</v>
      </c>
    </row>
    <row r="33" spans="8:9" ht="12.75">
      <c r="H33" s="172"/>
      <c r="I33" s="172"/>
    </row>
    <row r="34" spans="8:9" ht="12.75">
      <c r="H34" s="173" t="str">
        <f>A21&amp;" = "&amp;ROUND(B21,0)&amp;" µm"</f>
        <v>K80 = 95 µm</v>
      </c>
      <c r="I34" s="172"/>
    </row>
    <row r="36" ht="12.75"/>
    <row r="37" ht="12.75"/>
    <row r="38" ht="12.75"/>
    <row r="45" spans="2:3" ht="12.75">
      <c r="B45" s="174">
        <f>H7</f>
        <v>80</v>
      </c>
      <c r="C45" s="175" t="s">
        <v>74</v>
      </c>
    </row>
    <row r="46" spans="1:3" ht="12.75">
      <c r="A46" s="141">
        <v>34</v>
      </c>
      <c r="B46" s="176">
        <f>F$18</f>
        <v>26.315789473684205</v>
      </c>
      <c r="C46" s="177">
        <f>10^C74</f>
        <v>151.27480772790148</v>
      </c>
    </row>
    <row r="47" spans="1:3" ht="12.75">
      <c r="A47" s="141">
        <f>A46-1</f>
        <v>33</v>
      </c>
      <c r="B47" s="176">
        <f>F$17</f>
        <v>34.08215661103979</v>
      </c>
      <c r="C47" s="177">
        <f aca="true" t="shared" si="2" ref="C47:C71">10^C75</f>
        <v>87.15759867450505</v>
      </c>
    </row>
    <row r="48" spans="1:3" ht="12.75">
      <c r="A48" s="141">
        <f aca="true" t="shared" si="3" ref="A48:A71">A47-1</f>
        <v>32</v>
      </c>
      <c r="B48" s="176">
        <f>F$16</f>
        <v>47.97817715019256</v>
      </c>
      <c r="C48" s="177">
        <f t="shared" si="2"/>
        <v>94.86475964429324</v>
      </c>
    </row>
    <row r="49" spans="1:3" ht="12.75">
      <c r="A49" s="141">
        <f t="shared" si="3"/>
        <v>31</v>
      </c>
      <c r="B49" s="176">
        <f>F$15</f>
        <v>65.08344030808729</v>
      </c>
      <c r="C49" s="177">
        <f t="shared" si="2"/>
        <v>95.19160360979899</v>
      </c>
    </row>
    <row r="50" spans="1:3" ht="12.75">
      <c r="A50" s="141">
        <f t="shared" si="3"/>
        <v>30</v>
      </c>
      <c r="B50" s="176">
        <f>F$14</f>
        <v>87.8048780487805</v>
      </c>
      <c r="C50" s="177">
        <f t="shared" si="2"/>
        <v>79.80753503563064</v>
      </c>
    </row>
    <row r="51" spans="1:3" ht="12.75">
      <c r="A51" s="141">
        <f t="shared" si="3"/>
        <v>29</v>
      </c>
      <c r="B51" s="176">
        <f>F$13</f>
        <v>98.39537869062902</v>
      </c>
      <c r="C51" s="177">
        <f t="shared" si="2"/>
        <v>1.7938936216960053</v>
      </c>
    </row>
    <row r="52" spans="1:3" ht="12.75">
      <c r="A52" s="141">
        <f t="shared" si="3"/>
        <v>28</v>
      </c>
      <c r="B52" s="176">
        <f>F$12</f>
        <v>100</v>
      </c>
      <c r="C52" s="177" t="e">
        <f t="shared" si="2"/>
        <v>#DIV/0!</v>
      </c>
    </row>
    <row r="53" spans="1:3" ht="12.75">
      <c r="A53" s="141">
        <f t="shared" si="3"/>
        <v>27</v>
      </c>
      <c r="B53" s="176">
        <f>F$11</f>
        <v>100</v>
      </c>
      <c r="C53" s="177" t="e">
        <f t="shared" si="2"/>
        <v>#DIV/0!</v>
      </c>
    </row>
    <row r="54" spans="1:3" ht="12.75">
      <c r="A54" s="141">
        <f t="shared" si="3"/>
        <v>26</v>
      </c>
      <c r="B54" s="176">
        <f>F$10</f>
        <v>100</v>
      </c>
      <c r="C54" s="177" t="e">
        <f t="shared" si="2"/>
        <v>#DIV/0!</v>
      </c>
    </row>
    <row r="55" spans="1:3" ht="12.75">
      <c r="A55" s="141">
        <f t="shared" si="3"/>
        <v>25</v>
      </c>
      <c r="B55" s="176">
        <f>F$9</f>
        <v>100</v>
      </c>
      <c r="C55" s="177" t="e">
        <f t="shared" si="2"/>
        <v>#REF!</v>
      </c>
    </row>
    <row r="56" spans="1:3" ht="12.75">
      <c r="A56" s="141">
        <f t="shared" si="3"/>
        <v>24</v>
      </c>
      <c r="B56" s="176" t="e">
        <f>#REF!</f>
        <v>#REF!</v>
      </c>
      <c r="C56" s="177" t="e">
        <f t="shared" si="2"/>
        <v>#REF!</v>
      </c>
    </row>
    <row r="57" spans="1:3" ht="12.75">
      <c r="A57" s="141">
        <f t="shared" si="3"/>
        <v>23</v>
      </c>
      <c r="B57" s="176" t="e">
        <f>#REF!</f>
        <v>#REF!</v>
      </c>
      <c r="C57" s="177" t="e">
        <f>10^C85</f>
        <v>#REF!</v>
      </c>
    </row>
    <row r="58" spans="1:3" ht="12.75">
      <c r="A58" s="141">
        <f t="shared" si="3"/>
        <v>22</v>
      </c>
      <c r="B58" s="176" t="e">
        <f>#REF!</f>
        <v>#REF!</v>
      </c>
      <c r="C58" s="177" t="e">
        <f t="shared" si="2"/>
        <v>#REF!</v>
      </c>
    </row>
    <row r="59" spans="1:3" ht="12.75">
      <c r="A59" s="141">
        <f t="shared" si="3"/>
        <v>21</v>
      </c>
      <c r="B59" s="176" t="e">
        <f>#REF!</f>
        <v>#REF!</v>
      </c>
      <c r="C59" s="177" t="e">
        <f t="shared" si="2"/>
        <v>#REF!</v>
      </c>
    </row>
    <row r="60" spans="1:3" ht="12.75">
      <c r="A60" s="141">
        <f t="shared" si="3"/>
        <v>20</v>
      </c>
      <c r="B60" s="176" t="e">
        <f>#REF!</f>
        <v>#REF!</v>
      </c>
      <c r="C60" s="177" t="e">
        <f t="shared" si="2"/>
        <v>#REF!</v>
      </c>
    </row>
    <row r="61" spans="1:3" ht="12.75">
      <c r="A61" s="141">
        <f t="shared" si="3"/>
        <v>19</v>
      </c>
      <c r="B61" s="176" t="e">
        <f>#REF!</f>
        <v>#REF!</v>
      </c>
      <c r="C61" s="177" t="e">
        <f t="shared" si="2"/>
        <v>#REF!</v>
      </c>
    </row>
    <row r="62" spans="1:3" ht="12.75">
      <c r="A62" s="141">
        <f t="shared" si="3"/>
        <v>18</v>
      </c>
      <c r="B62" s="176" t="e">
        <f>#REF!</f>
        <v>#REF!</v>
      </c>
      <c r="C62" s="177" t="e">
        <f t="shared" si="2"/>
        <v>#REF!</v>
      </c>
    </row>
    <row r="63" spans="1:3" ht="12.75">
      <c r="A63" s="141">
        <f t="shared" si="3"/>
        <v>17</v>
      </c>
      <c r="B63" s="176" t="e">
        <f>#REF!</f>
        <v>#REF!</v>
      </c>
      <c r="C63" s="177" t="e">
        <f t="shared" si="2"/>
        <v>#REF!</v>
      </c>
    </row>
    <row r="64" spans="1:3" ht="12.75">
      <c r="A64" s="141">
        <f t="shared" si="3"/>
        <v>16</v>
      </c>
      <c r="B64" s="176" t="e">
        <f>#REF!</f>
        <v>#REF!</v>
      </c>
      <c r="C64" s="177" t="e">
        <f t="shared" si="2"/>
        <v>#REF!</v>
      </c>
    </row>
    <row r="65" spans="1:3" ht="12.75">
      <c r="A65" s="141">
        <f t="shared" si="3"/>
        <v>15</v>
      </c>
      <c r="B65" s="176" t="e">
        <f>#REF!</f>
        <v>#REF!</v>
      </c>
      <c r="C65" s="177" t="e">
        <f t="shared" si="2"/>
        <v>#REF!</v>
      </c>
    </row>
    <row r="66" spans="1:3" ht="12.75">
      <c r="A66" s="141">
        <f t="shared" si="3"/>
        <v>14</v>
      </c>
      <c r="B66" s="176" t="e">
        <f>#REF!</f>
        <v>#REF!</v>
      </c>
      <c r="C66" s="177" t="e">
        <f t="shared" si="2"/>
        <v>#REF!</v>
      </c>
    </row>
    <row r="67" spans="1:3" ht="12.75">
      <c r="A67" s="141">
        <f t="shared" si="3"/>
        <v>13</v>
      </c>
      <c r="B67" s="176" t="e">
        <f>#REF!</f>
        <v>#REF!</v>
      </c>
      <c r="C67" s="177" t="e">
        <f t="shared" si="2"/>
        <v>#REF!</v>
      </c>
    </row>
    <row r="68" spans="1:3" ht="12.75">
      <c r="A68" s="141">
        <f t="shared" si="3"/>
        <v>12</v>
      </c>
      <c r="B68" s="176" t="e">
        <f>#REF!</f>
        <v>#REF!</v>
      </c>
      <c r="C68" s="177" t="e">
        <f t="shared" si="2"/>
        <v>#REF!</v>
      </c>
    </row>
    <row r="69" spans="1:3" ht="12.75">
      <c r="A69" s="141">
        <f t="shared" si="3"/>
        <v>11</v>
      </c>
      <c r="B69" s="176" t="e">
        <f>#REF!</f>
        <v>#REF!</v>
      </c>
      <c r="C69" s="177" t="e">
        <f t="shared" si="2"/>
        <v>#REF!</v>
      </c>
    </row>
    <row r="70" spans="1:3" ht="12.75">
      <c r="A70" s="141">
        <f t="shared" si="3"/>
        <v>10</v>
      </c>
      <c r="B70" s="176" t="e">
        <f>#REF!</f>
        <v>#REF!</v>
      </c>
      <c r="C70" s="177" t="e">
        <f t="shared" si="2"/>
        <v>#REF!</v>
      </c>
    </row>
    <row r="71" spans="1:3" ht="12.75">
      <c r="A71" s="141">
        <f t="shared" si="3"/>
        <v>9</v>
      </c>
      <c r="B71" s="176" t="e">
        <f>#REF!</f>
        <v>#REF!</v>
      </c>
      <c r="C71" s="177" t="e">
        <f t="shared" si="2"/>
        <v>#REF!</v>
      </c>
    </row>
    <row r="72" spans="2:3" ht="12.75">
      <c r="B72" s="176"/>
      <c r="C72" s="175"/>
    </row>
    <row r="73" spans="2:3" ht="12.75">
      <c r="B73" s="174"/>
      <c r="C73" s="175"/>
    </row>
    <row r="74" spans="1:3" ht="12.75">
      <c r="A74" s="178">
        <f>A75+1</f>
        <v>34</v>
      </c>
      <c r="B74" s="179">
        <f>B18</f>
        <v>25</v>
      </c>
      <c r="C74" s="177">
        <f aca="true" t="shared" si="4" ref="C74:C99">(LOG(B$45)-LOG(B46))/(LOG(B47)-LOG(B46))*(LOG(B75)-LOG(B74))+LOG(B74)</f>
        <v>2.1797666096113106</v>
      </c>
    </row>
    <row r="75" spans="1:3" ht="12.75">
      <c r="A75" s="178">
        <f>A76+1</f>
        <v>33</v>
      </c>
      <c r="B75" s="179">
        <f>B17</f>
        <v>38</v>
      </c>
      <c r="C75" s="177">
        <f t="shared" si="4"/>
        <v>1.9403052562601049</v>
      </c>
    </row>
    <row r="76" spans="1:3" ht="12.75">
      <c r="A76" s="178">
        <f>A77+1</f>
        <v>32</v>
      </c>
      <c r="B76" s="179">
        <f>B16</f>
        <v>53</v>
      </c>
      <c r="C76" s="177">
        <f t="shared" si="4"/>
        <v>1.9771049106953127</v>
      </c>
    </row>
    <row r="77" spans="1:3" ht="12.75">
      <c r="A77" s="178">
        <f>A78+1</f>
        <v>31</v>
      </c>
      <c r="B77" s="179">
        <f>B15</f>
        <v>75</v>
      </c>
      <c r="C77" s="177">
        <f t="shared" si="4"/>
        <v>1.9785986430614932</v>
      </c>
    </row>
    <row r="78" spans="1:3" ht="12.75">
      <c r="A78" s="178">
        <f aca="true" t="shared" si="5" ref="A78:A97">A79+1</f>
        <v>30</v>
      </c>
      <c r="B78" s="179">
        <f>B14</f>
        <v>106</v>
      </c>
      <c r="C78" s="177">
        <f t="shared" si="4"/>
        <v>1.9020438972392926</v>
      </c>
    </row>
    <row r="79" spans="1:3" ht="12.75">
      <c r="A79" s="178">
        <f t="shared" si="5"/>
        <v>29</v>
      </c>
      <c r="B79" s="179">
        <f>B13</f>
        <v>150</v>
      </c>
      <c r="C79" s="177">
        <f t="shared" si="4"/>
        <v>0.25379668570906944</v>
      </c>
    </row>
    <row r="80" spans="1:3" ht="12.75">
      <c r="A80" s="178">
        <f t="shared" si="5"/>
        <v>28</v>
      </c>
      <c r="B80" s="179">
        <f>B12</f>
        <v>212</v>
      </c>
      <c r="C80" s="177" t="e">
        <f t="shared" si="4"/>
        <v>#DIV/0!</v>
      </c>
    </row>
    <row r="81" spans="1:3" ht="12.75">
      <c r="A81" s="178">
        <f t="shared" si="5"/>
        <v>27</v>
      </c>
      <c r="B81" s="179">
        <f>B11</f>
        <v>300</v>
      </c>
      <c r="C81" s="177" t="e">
        <f t="shared" si="4"/>
        <v>#DIV/0!</v>
      </c>
    </row>
    <row r="82" spans="1:3" ht="12.75">
      <c r="A82" s="178">
        <f t="shared" si="5"/>
        <v>26</v>
      </c>
      <c r="B82" s="179">
        <f>B10</f>
        <v>425</v>
      </c>
      <c r="C82" s="177" t="e">
        <f t="shared" si="4"/>
        <v>#DIV/0!</v>
      </c>
    </row>
    <row r="83" spans="1:3" ht="12.75">
      <c r="A83" s="178">
        <f t="shared" si="5"/>
        <v>25</v>
      </c>
      <c r="B83" s="179">
        <f>B9</f>
        <v>600</v>
      </c>
      <c r="C83" s="177" t="e">
        <f t="shared" si="4"/>
        <v>#REF!</v>
      </c>
    </row>
    <row r="84" spans="1:3" ht="12.75">
      <c r="A84" s="178">
        <f t="shared" si="5"/>
        <v>24</v>
      </c>
      <c r="B84" s="179" t="e">
        <f>#REF!</f>
        <v>#REF!</v>
      </c>
      <c r="C84" s="177" t="e">
        <f t="shared" si="4"/>
        <v>#REF!</v>
      </c>
    </row>
    <row r="85" spans="1:3" ht="12.75">
      <c r="A85" s="178">
        <f t="shared" si="5"/>
        <v>23</v>
      </c>
      <c r="B85" s="179" t="e">
        <f>#REF!</f>
        <v>#REF!</v>
      </c>
      <c r="C85" s="177" t="e">
        <f t="shared" si="4"/>
        <v>#REF!</v>
      </c>
    </row>
    <row r="86" spans="1:3" ht="12.75">
      <c r="A86" s="178">
        <f t="shared" si="5"/>
        <v>22</v>
      </c>
      <c r="B86" s="179" t="e">
        <f>#REF!</f>
        <v>#REF!</v>
      </c>
      <c r="C86" s="177" t="e">
        <f t="shared" si="4"/>
        <v>#REF!</v>
      </c>
    </row>
    <row r="87" spans="1:3" ht="12.75">
      <c r="A87" s="178">
        <f t="shared" si="5"/>
        <v>21</v>
      </c>
      <c r="B87" s="179" t="e">
        <f>#REF!</f>
        <v>#REF!</v>
      </c>
      <c r="C87" s="177" t="e">
        <f t="shared" si="4"/>
        <v>#REF!</v>
      </c>
    </row>
    <row r="88" spans="1:3" ht="12.75">
      <c r="A88" s="178">
        <f t="shared" si="5"/>
        <v>20</v>
      </c>
      <c r="B88" s="179" t="e">
        <f>#REF!</f>
        <v>#REF!</v>
      </c>
      <c r="C88" s="177" t="e">
        <f t="shared" si="4"/>
        <v>#REF!</v>
      </c>
    </row>
    <row r="89" spans="1:3" ht="12.75">
      <c r="A89" s="178">
        <f t="shared" si="5"/>
        <v>19</v>
      </c>
      <c r="B89" s="179" t="e">
        <f>#REF!</f>
        <v>#REF!</v>
      </c>
      <c r="C89" s="177" t="e">
        <f t="shared" si="4"/>
        <v>#REF!</v>
      </c>
    </row>
    <row r="90" spans="1:3" ht="12.75">
      <c r="A90" s="178">
        <f t="shared" si="5"/>
        <v>18</v>
      </c>
      <c r="B90" s="179" t="e">
        <f>#REF!</f>
        <v>#REF!</v>
      </c>
      <c r="C90" s="177" t="e">
        <f t="shared" si="4"/>
        <v>#REF!</v>
      </c>
    </row>
    <row r="91" spans="1:3" ht="12.75">
      <c r="A91" s="178">
        <f t="shared" si="5"/>
        <v>17</v>
      </c>
      <c r="B91" s="179" t="e">
        <f>#REF!</f>
        <v>#REF!</v>
      </c>
      <c r="C91" s="177" t="e">
        <f t="shared" si="4"/>
        <v>#REF!</v>
      </c>
    </row>
    <row r="92" spans="1:3" ht="12.75">
      <c r="A92" s="178">
        <f t="shared" si="5"/>
        <v>16</v>
      </c>
      <c r="B92" s="179" t="e">
        <f>#REF!</f>
        <v>#REF!</v>
      </c>
      <c r="C92" s="177" t="e">
        <f t="shared" si="4"/>
        <v>#REF!</v>
      </c>
    </row>
    <row r="93" spans="1:3" ht="12.75">
      <c r="A93" s="178">
        <f t="shared" si="5"/>
        <v>15</v>
      </c>
      <c r="B93" s="179" t="e">
        <f>#REF!</f>
        <v>#REF!</v>
      </c>
      <c r="C93" s="177" t="e">
        <f t="shared" si="4"/>
        <v>#REF!</v>
      </c>
    </row>
    <row r="94" spans="1:3" ht="12.75">
      <c r="A94" s="178">
        <f t="shared" si="5"/>
        <v>14</v>
      </c>
      <c r="B94" s="179" t="e">
        <f>#REF!</f>
        <v>#REF!</v>
      </c>
      <c r="C94" s="177" t="e">
        <f t="shared" si="4"/>
        <v>#REF!</v>
      </c>
    </row>
    <row r="95" spans="1:3" ht="12.75">
      <c r="A95" s="178">
        <f t="shared" si="5"/>
        <v>13</v>
      </c>
      <c r="B95" s="179" t="e">
        <f>#REF!</f>
        <v>#REF!</v>
      </c>
      <c r="C95" s="177" t="e">
        <f t="shared" si="4"/>
        <v>#REF!</v>
      </c>
    </row>
    <row r="96" spans="1:3" ht="12.75">
      <c r="A96" s="178">
        <f t="shared" si="5"/>
        <v>12</v>
      </c>
      <c r="B96" s="179" t="e">
        <f>#REF!</f>
        <v>#REF!</v>
      </c>
      <c r="C96" s="177" t="e">
        <f t="shared" si="4"/>
        <v>#REF!</v>
      </c>
    </row>
    <row r="97" spans="1:3" ht="12.75">
      <c r="A97" s="178">
        <f t="shared" si="5"/>
        <v>11</v>
      </c>
      <c r="B97" s="179" t="e">
        <f>#REF!</f>
        <v>#REF!</v>
      </c>
      <c r="C97" s="177" t="e">
        <f t="shared" si="4"/>
        <v>#REF!</v>
      </c>
    </row>
    <row r="98" spans="1:3" ht="12.75">
      <c r="A98" s="178">
        <f>A99+1</f>
        <v>10</v>
      </c>
      <c r="B98" s="179" t="e">
        <f>#REF!</f>
        <v>#REF!</v>
      </c>
      <c r="C98" s="177" t="e">
        <f t="shared" si="4"/>
        <v>#REF!</v>
      </c>
    </row>
    <row r="99" spans="1:3" ht="12.75">
      <c r="A99" s="178">
        <v>9</v>
      </c>
      <c r="B99" s="179" t="e">
        <f>#REF!</f>
        <v>#REF!</v>
      </c>
      <c r="C99" s="177" t="e">
        <f t="shared" si="4"/>
        <v>#REF!</v>
      </c>
    </row>
    <row r="100" spans="2:3" ht="12.75">
      <c r="B100" s="175"/>
      <c r="C100" s="175"/>
    </row>
    <row r="101" spans="2:3" ht="12.75">
      <c r="B101" s="175"/>
      <c r="C101" s="180">
        <f>VLOOKUP($B45,B46:C71,2)</f>
        <v>95.19160360979899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PageLayoutView="0" workbookViewId="0" topLeftCell="A1">
      <selection activeCell="H8" sqref="H8"/>
    </sheetView>
  </sheetViews>
  <sheetFormatPr defaultColWidth="10.7109375" defaultRowHeight="12.75"/>
  <cols>
    <col min="1" max="6" width="11.7109375" style="141" customWidth="1"/>
    <col min="7" max="16384" width="10.7109375" style="141" customWidth="1"/>
  </cols>
  <sheetData>
    <row r="1" spans="1:6" s="1" customFormat="1" ht="12.75">
      <c r="A1" s="137"/>
      <c r="B1" s="138"/>
      <c r="C1" s="139" t="s">
        <v>59</v>
      </c>
      <c r="D1" s="140"/>
      <c r="E1" s="138"/>
      <c r="F1" s="141" t="s">
        <v>60</v>
      </c>
    </row>
    <row r="2" spans="1:6" s="1" customFormat="1" ht="12.75">
      <c r="A2" s="181" t="str">
        <f>'E-GRG-1'!H2</f>
        <v>Fraser</v>
      </c>
      <c r="B2" s="138"/>
      <c r="C2" s="139" t="s">
        <v>61</v>
      </c>
      <c r="D2" s="140"/>
      <c r="E2" s="138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117</v>
      </c>
      <c r="C4" s="2"/>
      <c r="D4" s="2" t="s">
        <v>63</v>
      </c>
      <c r="E4" s="3" t="s">
        <v>110</v>
      </c>
      <c r="F4" s="4"/>
    </row>
    <row r="5" spans="1:6" ht="9" customHeight="1" thickBot="1">
      <c r="A5" s="138"/>
      <c r="B5" s="138"/>
      <c r="C5" s="138"/>
      <c r="D5" s="138"/>
      <c r="E5" s="138"/>
      <c r="F5" s="138"/>
    </row>
    <row r="6" spans="1:8" ht="12.75">
      <c r="A6" s="142" t="s">
        <v>24</v>
      </c>
      <c r="B6" s="143"/>
      <c r="C6" s="144" t="s">
        <v>64</v>
      </c>
      <c r="D6" s="142" t="s">
        <v>65</v>
      </c>
      <c r="E6" s="143"/>
      <c r="F6" s="145" t="s">
        <v>66</v>
      </c>
      <c r="G6" s="138"/>
      <c r="H6" s="146" t="s">
        <v>67</v>
      </c>
    </row>
    <row r="7" spans="1:8" ht="13.5" thickBot="1">
      <c r="A7" s="147" t="s">
        <v>30</v>
      </c>
      <c r="B7" s="147" t="s">
        <v>68</v>
      </c>
      <c r="C7" s="147" t="s">
        <v>12</v>
      </c>
      <c r="D7" s="147" t="s">
        <v>69</v>
      </c>
      <c r="E7" s="147" t="s">
        <v>70</v>
      </c>
      <c r="F7" s="148" t="s">
        <v>70</v>
      </c>
      <c r="G7" s="138"/>
      <c r="H7" s="149">
        <v>80</v>
      </c>
    </row>
    <row r="8" spans="1:7" ht="7.5" customHeight="1">
      <c r="A8" s="150"/>
      <c r="B8" s="150"/>
      <c r="C8" s="150"/>
      <c r="D8" s="150"/>
      <c r="E8" s="150"/>
      <c r="F8" s="151"/>
      <c r="G8" s="138"/>
    </row>
    <row r="9" spans="1:7" ht="12.75">
      <c r="A9" s="152">
        <v>28</v>
      </c>
      <c r="B9" s="152">
        <v>600</v>
      </c>
      <c r="C9" s="201">
        <v>0</v>
      </c>
      <c r="D9" s="153">
        <f>C9/C20*100</f>
        <v>0</v>
      </c>
      <c r="E9" s="153">
        <f>D9</f>
        <v>0</v>
      </c>
      <c r="F9" s="154">
        <f aca="true" t="shared" si="0" ref="F9:F19">100-E9</f>
        <v>100</v>
      </c>
      <c r="G9" s="155"/>
    </row>
    <row r="10" spans="1:7" ht="12.75">
      <c r="A10" s="152">
        <v>35</v>
      </c>
      <c r="B10" s="152">
        <v>425</v>
      </c>
      <c r="C10" s="201">
        <v>0</v>
      </c>
      <c r="D10" s="153">
        <f>C10/C20*100</f>
        <v>0</v>
      </c>
      <c r="E10" s="153">
        <f aca="true" t="shared" si="1" ref="E10:E19">E9+D10</f>
        <v>0</v>
      </c>
      <c r="F10" s="154">
        <f t="shared" si="0"/>
        <v>100</v>
      </c>
      <c r="G10" s="155"/>
    </row>
    <row r="11" spans="1:10" ht="12.75">
      <c r="A11" s="152">
        <v>48</v>
      </c>
      <c r="B11" s="152">
        <v>300</v>
      </c>
      <c r="C11" s="201">
        <v>0</v>
      </c>
      <c r="D11" s="153">
        <f>C11/C20*100</f>
        <v>0</v>
      </c>
      <c r="E11" s="153">
        <f t="shared" si="1"/>
        <v>0</v>
      </c>
      <c r="F11" s="154">
        <f t="shared" si="0"/>
        <v>100</v>
      </c>
      <c r="G11" s="155"/>
      <c r="J11" s="453"/>
    </row>
    <row r="12" spans="1:7" ht="12.75">
      <c r="A12" s="152">
        <v>65</v>
      </c>
      <c r="B12" s="152">
        <v>212</v>
      </c>
      <c r="C12" s="201">
        <v>0</v>
      </c>
      <c r="D12" s="153">
        <f>C12/C20*100</f>
        <v>0</v>
      </c>
      <c r="E12" s="153">
        <f t="shared" si="1"/>
        <v>0</v>
      </c>
      <c r="F12" s="154">
        <f t="shared" si="0"/>
        <v>100</v>
      </c>
      <c r="G12" s="155"/>
    </row>
    <row r="13" spans="1:9" ht="12.75">
      <c r="A13" s="152">
        <v>100</v>
      </c>
      <c r="B13" s="152">
        <v>150</v>
      </c>
      <c r="C13" s="201">
        <v>3.2</v>
      </c>
      <c r="D13" s="153">
        <f>C13/C20*100</f>
        <v>1.1084170419120194</v>
      </c>
      <c r="E13" s="153">
        <f t="shared" si="1"/>
        <v>1.1084170419120194</v>
      </c>
      <c r="F13" s="154">
        <f t="shared" si="0"/>
        <v>98.89158295808798</v>
      </c>
      <c r="G13" s="155"/>
      <c r="I13" s="453"/>
    </row>
    <row r="14" spans="1:10" ht="12.75">
      <c r="A14" s="152">
        <v>150</v>
      </c>
      <c r="B14" s="152">
        <v>106</v>
      </c>
      <c r="C14" s="201">
        <v>25.9</v>
      </c>
      <c r="D14" s="153">
        <f>C14/C20*100</f>
        <v>8.971250432975406</v>
      </c>
      <c r="E14" s="153">
        <f t="shared" si="1"/>
        <v>10.079667474887426</v>
      </c>
      <c r="F14" s="154">
        <f t="shared" si="0"/>
        <v>89.92033252511257</v>
      </c>
      <c r="G14" s="155"/>
      <c r="J14" s="183"/>
    </row>
    <row r="15" spans="1:7" ht="12.75">
      <c r="A15" s="152">
        <v>200</v>
      </c>
      <c r="B15" s="152">
        <v>75</v>
      </c>
      <c r="C15" s="201">
        <v>64.5</v>
      </c>
      <c r="D15" s="153">
        <f>C15/C20*100</f>
        <v>22.34153100103914</v>
      </c>
      <c r="E15" s="153">
        <f t="shared" si="1"/>
        <v>32.421198475926566</v>
      </c>
      <c r="F15" s="154">
        <f t="shared" si="0"/>
        <v>67.57880152407344</v>
      </c>
      <c r="G15" s="155"/>
    </row>
    <row r="16" spans="1:7" ht="12.75">
      <c r="A16" s="152">
        <v>270</v>
      </c>
      <c r="B16" s="152">
        <v>53</v>
      </c>
      <c r="C16" s="201">
        <v>47.6</v>
      </c>
      <c r="D16" s="153">
        <f>C16/C20*100</f>
        <v>16.487703498441288</v>
      </c>
      <c r="E16" s="153">
        <f t="shared" si="1"/>
        <v>48.90890197436785</v>
      </c>
      <c r="F16" s="154">
        <f t="shared" si="0"/>
        <v>51.09109802563215</v>
      </c>
      <c r="G16" s="155"/>
    </row>
    <row r="17" spans="1:7" ht="12.75">
      <c r="A17" s="152">
        <v>400</v>
      </c>
      <c r="B17" s="152">
        <v>38</v>
      </c>
      <c r="C17" s="201">
        <v>42.5</v>
      </c>
      <c r="D17" s="153">
        <f>C17/C20*100</f>
        <v>14.721163837894007</v>
      </c>
      <c r="E17" s="153">
        <f t="shared" si="1"/>
        <v>63.63006581226186</v>
      </c>
      <c r="F17" s="154">
        <f t="shared" si="0"/>
        <v>36.36993418773814</v>
      </c>
      <c r="G17" s="155"/>
    </row>
    <row r="18" spans="1:7" ht="12.75">
      <c r="A18" s="152">
        <v>500</v>
      </c>
      <c r="B18" s="152">
        <v>25</v>
      </c>
      <c r="C18" s="201">
        <v>25.7</v>
      </c>
      <c r="D18" s="153">
        <f>C18/C20*100</f>
        <v>8.901974367855905</v>
      </c>
      <c r="E18" s="153">
        <f t="shared" si="1"/>
        <v>72.53204018011776</v>
      </c>
      <c r="F18" s="154">
        <f t="shared" si="0"/>
        <v>27.46795981988224</v>
      </c>
      <c r="G18" s="155"/>
    </row>
    <row r="19" spans="1:7" ht="12.75">
      <c r="A19" s="152" t="s">
        <v>71</v>
      </c>
      <c r="B19" s="152">
        <f>-B18</f>
        <v>-25</v>
      </c>
      <c r="C19" s="153">
        <v>79.3</v>
      </c>
      <c r="D19" s="153">
        <f>C19/C20*100</f>
        <v>27.467959819882232</v>
      </c>
      <c r="E19" s="153">
        <f t="shared" si="1"/>
        <v>100</v>
      </c>
      <c r="F19" s="154">
        <f t="shared" si="0"/>
        <v>0</v>
      </c>
      <c r="G19" s="155"/>
    </row>
    <row r="20" spans="1:7" ht="12.75">
      <c r="A20" s="156" t="s">
        <v>36</v>
      </c>
      <c r="B20" s="156" t="s">
        <v>72</v>
      </c>
      <c r="C20" s="157">
        <v>288.7</v>
      </c>
      <c r="D20" s="153">
        <f>SUM(D9:D19)</f>
        <v>100</v>
      </c>
      <c r="E20" s="156" t="s">
        <v>72</v>
      </c>
      <c r="F20" s="158" t="s">
        <v>72</v>
      </c>
      <c r="G20" s="138"/>
    </row>
    <row r="21" spans="1:6" ht="12.75">
      <c r="A21" s="159" t="str">
        <f>"K"&amp;H7</f>
        <v>K80</v>
      </c>
      <c r="B21" s="160">
        <f>C101</f>
        <v>92.00605967895471</v>
      </c>
      <c r="C21" s="161"/>
      <c r="D21" s="162"/>
      <c r="E21" s="161"/>
      <c r="F21" s="163"/>
    </row>
    <row r="22" spans="1:6" ht="12.75">
      <c r="A22" s="164"/>
      <c r="B22" s="165"/>
      <c r="C22" s="166"/>
      <c r="D22" s="167"/>
      <c r="E22" s="166"/>
      <c r="F22" s="166"/>
    </row>
    <row r="23" spans="1:6" ht="12.75">
      <c r="A23" s="164"/>
      <c r="B23" s="165"/>
      <c r="C23" s="166"/>
      <c r="D23" s="167"/>
      <c r="E23" s="166"/>
      <c r="F23" s="166"/>
    </row>
    <row r="24" spans="1:6" ht="12.75">
      <c r="A24" s="164"/>
      <c r="B24" s="165"/>
      <c r="C24" s="166"/>
      <c r="D24" s="167"/>
      <c r="E24" s="166"/>
      <c r="F24" s="166"/>
    </row>
    <row r="25" ht="7.5" customHeight="1"/>
    <row r="29" spans="8:9" ht="12.75">
      <c r="H29" s="168" t="s">
        <v>73</v>
      </c>
      <c r="I29" s="169"/>
    </row>
    <row r="30" spans="8:9" ht="12.75">
      <c r="H30" s="170">
        <v>10</v>
      </c>
      <c r="I30" s="171">
        <f>H7</f>
        <v>80</v>
      </c>
    </row>
    <row r="31" spans="8:9" ht="12.75">
      <c r="H31" s="171">
        <f>B21</f>
        <v>92.00605967895471</v>
      </c>
      <c r="I31" s="170">
        <f>I30</f>
        <v>80</v>
      </c>
    </row>
    <row r="32" spans="8:9" ht="12.75">
      <c r="H32" s="171">
        <f>H31</f>
        <v>92.00605967895471</v>
      </c>
      <c r="I32" s="170">
        <v>0</v>
      </c>
    </row>
    <row r="33" spans="8:9" ht="12.75">
      <c r="H33" s="172"/>
      <c r="I33" s="172"/>
    </row>
    <row r="34" spans="8:9" ht="12.75">
      <c r="H34" s="173" t="str">
        <f>A21&amp;" = "&amp;ROUND(B21,0)&amp;" µm"</f>
        <v>K80 = 92 µm</v>
      </c>
      <c r="I34" s="172"/>
    </row>
    <row r="36" ht="12.75"/>
    <row r="37" ht="12.75"/>
    <row r="38" ht="12.75"/>
    <row r="45" spans="2:3" ht="12.75">
      <c r="B45" s="174">
        <f>H7</f>
        <v>80</v>
      </c>
      <c r="C45" s="175" t="s">
        <v>74</v>
      </c>
    </row>
    <row r="46" spans="1:3" ht="12.75">
      <c r="A46" s="141">
        <v>34</v>
      </c>
      <c r="B46" s="176">
        <f>F$18</f>
        <v>27.46795981988224</v>
      </c>
      <c r="C46" s="177">
        <f>10^C74</f>
        <v>123.14332537400165</v>
      </c>
    </row>
    <row r="47" spans="1:3" ht="12.75">
      <c r="A47" s="141">
        <f>A46-1</f>
        <v>33</v>
      </c>
      <c r="B47" s="176">
        <f>F$17</f>
        <v>36.36993418773814</v>
      </c>
      <c r="C47" s="177">
        <f aca="true" t="shared" si="2" ref="C47:C71">10^C75</f>
        <v>82.20850354982382</v>
      </c>
    </row>
    <row r="48" spans="1:3" ht="12.75">
      <c r="A48" s="141">
        <f aca="true" t="shared" si="3" ref="A48:A71">A47-1</f>
        <v>32</v>
      </c>
      <c r="B48" s="176">
        <f>F$16</f>
        <v>51.09109802563215</v>
      </c>
      <c r="C48" s="177">
        <f t="shared" si="2"/>
        <v>92.47609692892175</v>
      </c>
    </row>
    <row r="49" spans="1:3" ht="12.75">
      <c r="A49" s="141">
        <f t="shared" si="3"/>
        <v>31</v>
      </c>
      <c r="B49" s="176">
        <f>F$15</f>
        <v>67.57880152407344</v>
      </c>
      <c r="C49" s="177">
        <f t="shared" si="2"/>
        <v>92.00605967895471</v>
      </c>
    </row>
    <row r="50" spans="1:3" ht="12.75">
      <c r="A50" s="141">
        <f t="shared" si="3"/>
        <v>30</v>
      </c>
      <c r="B50" s="176">
        <f>F$14</f>
        <v>89.92033252511257</v>
      </c>
      <c r="C50" s="177">
        <f t="shared" si="2"/>
        <v>69.17667855399127</v>
      </c>
    </row>
    <row r="51" spans="1:3" ht="12.75">
      <c r="A51" s="141">
        <f t="shared" si="3"/>
        <v>29</v>
      </c>
      <c r="B51" s="176">
        <f>F$13</f>
        <v>98.89158295808798</v>
      </c>
      <c r="C51" s="177">
        <f t="shared" si="2"/>
        <v>0.20818333347532325</v>
      </c>
    </row>
    <row r="52" spans="1:3" ht="12.75">
      <c r="A52" s="141">
        <f t="shared" si="3"/>
        <v>28</v>
      </c>
      <c r="B52" s="176">
        <f>F$12</f>
        <v>100</v>
      </c>
      <c r="C52" s="177" t="e">
        <f t="shared" si="2"/>
        <v>#DIV/0!</v>
      </c>
    </row>
    <row r="53" spans="1:3" ht="12.75">
      <c r="A53" s="141">
        <f t="shared" si="3"/>
        <v>27</v>
      </c>
      <c r="B53" s="176">
        <f>F$11</f>
        <v>100</v>
      </c>
      <c r="C53" s="177" t="e">
        <f t="shared" si="2"/>
        <v>#DIV/0!</v>
      </c>
    </row>
    <row r="54" spans="1:3" ht="12.75">
      <c r="A54" s="141">
        <f t="shared" si="3"/>
        <v>26</v>
      </c>
      <c r="B54" s="176">
        <f>F$10</f>
        <v>100</v>
      </c>
      <c r="C54" s="177" t="e">
        <f t="shared" si="2"/>
        <v>#DIV/0!</v>
      </c>
    </row>
    <row r="55" spans="1:3" ht="12.75">
      <c r="A55" s="141">
        <f t="shared" si="3"/>
        <v>25</v>
      </c>
      <c r="B55" s="176">
        <f>F$9</f>
        <v>100</v>
      </c>
      <c r="C55" s="177" t="e">
        <f t="shared" si="2"/>
        <v>#REF!</v>
      </c>
    </row>
    <row r="56" spans="1:3" ht="12.75">
      <c r="A56" s="141">
        <f t="shared" si="3"/>
        <v>24</v>
      </c>
      <c r="B56" s="176" t="e">
        <f>#REF!</f>
        <v>#REF!</v>
      </c>
      <c r="C56" s="177" t="e">
        <f t="shared" si="2"/>
        <v>#REF!</v>
      </c>
    </row>
    <row r="57" spans="1:3" ht="12.75">
      <c r="A57" s="141">
        <f t="shared" si="3"/>
        <v>23</v>
      </c>
      <c r="B57" s="176" t="e">
        <f>#REF!</f>
        <v>#REF!</v>
      </c>
      <c r="C57" s="177" t="e">
        <f>10^C85</f>
        <v>#REF!</v>
      </c>
    </row>
    <row r="58" spans="1:3" ht="12.75">
      <c r="A58" s="141">
        <f t="shared" si="3"/>
        <v>22</v>
      </c>
      <c r="B58" s="176" t="e">
        <f>#REF!</f>
        <v>#REF!</v>
      </c>
      <c r="C58" s="177" t="e">
        <f t="shared" si="2"/>
        <v>#REF!</v>
      </c>
    </row>
    <row r="59" spans="1:3" ht="12.75">
      <c r="A59" s="141">
        <f t="shared" si="3"/>
        <v>21</v>
      </c>
      <c r="B59" s="176" t="e">
        <f>#REF!</f>
        <v>#REF!</v>
      </c>
      <c r="C59" s="177" t="e">
        <f t="shared" si="2"/>
        <v>#REF!</v>
      </c>
    </row>
    <row r="60" spans="1:3" ht="12.75">
      <c r="A60" s="141">
        <f t="shared" si="3"/>
        <v>20</v>
      </c>
      <c r="B60" s="176" t="e">
        <f>#REF!</f>
        <v>#REF!</v>
      </c>
      <c r="C60" s="177" t="e">
        <f t="shared" si="2"/>
        <v>#REF!</v>
      </c>
    </row>
    <row r="61" spans="1:3" ht="12.75">
      <c r="A61" s="141">
        <f t="shared" si="3"/>
        <v>19</v>
      </c>
      <c r="B61" s="176" t="e">
        <f>#REF!</f>
        <v>#REF!</v>
      </c>
      <c r="C61" s="177" t="e">
        <f t="shared" si="2"/>
        <v>#REF!</v>
      </c>
    </row>
    <row r="62" spans="1:3" ht="12.75">
      <c r="A62" s="141">
        <f t="shared" si="3"/>
        <v>18</v>
      </c>
      <c r="B62" s="176" t="e">
        <f>#REF!</f>
        <v>#REF!</v>
      </c>
      <c r="C62" s="177" t="e">
        <f t="shared" si="2"/>
        <v>#REF!</v>
      </c>
    </row>
    <row r="63" spans="1:3" ht="12.75">
      <c r="A63" s="141">
        <f t="shared" si="3"/>
        <v>17</v>
      </c>
      <c r="B63" s="176" t="e">
        <f>#REF!</f>
        <v>#REF!</v>
      </c>
      <c r="C63" s="177" t="e">
        <f t="shared" si="2"/>
        <v>#REF!</v>
      </c>
    </row>
    <row r="64" spans="1:3" ht="12.75">
      <c r="A64" s="141">
        <f t="shared" si="3"/>
        <v>16</v>
      </c>
      <c r="B64" s="176" t="e">
        <f>#REF!</f>
        <v>#REF!</v>
      </c>
      <c r="C64" s="177" t="e">
        <f t="shared" si="2"/>
        <v>#REF!</v>
      </c>
    </row>
    <row r="65" spans="1:3" ht="12.75">
      <c r="A65" s="141">
        <f t="shared" si="3"/>
        <v>15</v>
      </c>
      <c r="B65" s="176" t="e">
        <f>#REF!</f>
        <v>#REF!</v>
      </c>
      <c r="C65" s="177" t="e">
        <f t="shared" si="2"/>
        <v>#REF!</v>
      </c>
    </row>
    <row r="66" spans="1:3" ht="12.75">
      <c r="A66" s="141">
        <f t="shared" si="3"/>
        <v>14</v>
      </c>
      <c r="B66" s="176" t="e">
        <f>#REF!</f>
        <v>#REF!</v>
      </c>
      <c r="C66" s="177" t="e">
        <f t="shared" si="2"/>
        <v>#REF!</v>
      </c>
    </row>
    <row r="67" spans="1:3" ht="12.75">
      <c r="A67" s="141">
        <f t="shared" si="3"/>
        <v>13</v>
      </c>
      <c r="B67" s="176" t="e">
        <f>#REF!</f>
        <v>#REF!</v>
      </c>
      <c r="C67" s="177" t="e">
        <f t="shared" si="2"/>
        <v>#REF!</v>
      </c>
    </row>
    <row r="68" spans="1:3" ht="12.75">
      <c r="A68" s="141">
        <f t="shared" si="3"/>
        <v>12</v>
      </c>
      <c r="B68" s="176" t="e">
        <f>#REF!</f>
        <v>#REF!</v>
      </c>
      <c r="C68" s="177" t="e">
        <f t="shared" si="2"/>
        <v>#REF!</v>
      </c>
    </row>
    <row r="69" spans="1:3" ht="12.75">
      <c r="A69" s="141">
        <f t="shared" si="3"/>
        <v>11</v>
      </c>
      <c r="B69" s="176" t="e">
        <f>#REF!</f>
        <v>#REF!</v>
      </c>
      <c r="C69" s="177" t="e">
        <f t="shared" si="2"/>
        <v>#REF!</v>
      </c>
    </row>
    <row r="70" spans="1:3" ht="12.75">
      <c r="A70" s="141">
        <f t="shared" si="3"/>
        <v>10</v>
      </c>
      <c r="B70" s="176" t="e">
        <f>#REF!</f>
        <v>#REF!</v>
      </c>
      <c r="C70" s="177" t="e">
        <f t="shared" si="2"/>
        <v>#REF!</v>
      </c>
    </row>
    <row r="71" spans="1:3" ht="12.75">
      <c r="A71" s="141">
        <f t="shared" si="3"/>
        <v>9</v>
      </c>
      <c r="B71" s="176" t="e">
        <f>#REF!</f>
        <v>#REF!</v>
      </c>
      <c r="C71" s="177" t="e">
        <f t="shared" si="2"/>
        <v>#REF!</v>
      </c>
    </row>
    <row r="72" spans="2:3" ht="12.75">
      <c r="B72" s="176"/>
      <c r="C72" s="175"/>
    </row>
    <row r="73" spans="2:3" ht="12.75">
      <c r="B73" s="174"/>
      <c r="C73" s="175"/>
    </row>
    <row r="74" spans="1:3" ht="12.75">
      <c r="A74" s="178">
        <f>A75+1</f>
        <v>34</v>
      </c>
      <c r="B74" s="179">
        <f>B18</f>
        <v>25</v>
      </c>
      <c r="C74" s="177">
        <f aca="true" t="shared" si="4" ref="C74:C99">(LOG(B$45)-LOG(B46))/(LOG(B47)-LOG(B46))*(LOG(B75)-LOG(B74))+LOG(B74)</f>
        <v>2.090410877143066</v>
      </c>
    </row>
    <row r="75" spans="1:3" ht="12.75">
      <c r="A75" s="178">
        <f>A76+1</f>
        <v>33</v>
      </c>
      <c r="B75" s="179">
        <f>B17</f>
        <v>38</v>
      </c>
      <c r="C75" s="177">
        <f t="shared" si="4"/>
        <v>1.9149167427682305</v>
      </c>
    </row>
    <row r="76" spans="1:3" ht="12.75">
      <c r="A76" s="178">
        <f>A77+1</f>
        <v>32</v>
      </c>
      <c r="B76" s="179">
        <f>B16</f>
        <v>53</v>
      </c>
      <c r="C76" s="177">
        <f t="shared" si="4"/>
        <v>1.9660294915132746</v>
      </c>
    </row>
    <row r="77" spans="1:3" ht="12.75">
      <c r="A77" s="178">
        <f>A78+1</f>
        <v>31</v>
      </c>
      <c r="B77" s="179">
        <f>B15</f>
        <v>75</v>
      </c>
      <c r="C77" s="177">
        <f t="shared" si="4"/>
        <v>1.9638164316767133</v>
      </c>
    </row>
    <row r="78" spans="1:3" ht="12.75">
      <c r="A78" s="178">
        <f aca="true" t="shared" si="5" ref="A78:A97">A79+1</f>
        <v>30</v>
      </c>
      <c r="B78" s="179">
        <f>B14</f>
        <v>106</v>
      </c>
      <c r="C78" s="177">
        <f t="shared" si="4"/>
        <v>1.8399597059827268</v>
      </c>
    </row>
    <row r="79" spans="1:3" ht="12.75">
      <c r="A79" s="178">
        <f t="shared" si="5"/>
        <v>29</v>
      </c>
      <c r="B79" s="179">
        <f>B13</f>
        <v>150</v>
      </c>
      <c r="C79" s="177">
        <f t="shared" si="4"/>
        <v>-0.6815540417295423</v>
      </c>
    </row>
    <row r="80" spans="1:3" ht="12.75">
      <c r="A80" s="178">
        <f t="shared" si="5"/>
        <v>28</v>
      </c>
      <c r="B80" s="179">
        <f>B12</f>
        <v>212</v>
      </c>
      <c r="C80" s="177" t="e">
        <f t="shared" si="4"/>
        <v>#DIV/0!</v>
      </c>
    </row>
    <row r="81" spans="1:3" ht="12.75">
      <c r="A81" s="178">
        <f t="shared" si="5"/>
        <v>27</v>
      </c>
      <c r="B81" s="179">
        <f>B11</f>
        <v>300</v>
      </c>
      <c r="C81" s="177" t="e">
        <f t="shared" si="4"/>
        <v>#DIV/0!</v>
      </c>
    </row>
    <row r="82" spans="1:3" ht="12.75">
      <c r="A82" s="178">
        <f t="shared" si="5"/>
        <v>26</v>
      </c>
      <c r="B82" s="179">
        <f>B10</f>
        <v>425</v>
      </c>
      <c r="C82" s="177" t="e">
        <f t="shared" si="4"/>
        <v>#DIV/0!</v>
      </c>
    </row>
    <row r="83" spans="1:3" ht="12.75">
      <c r="A83" s="178">
        <f t="shared" si="5"/>
        <v>25</v>
      </c>
      <c r="B83" s="179">
        <f>B9</f>
        <v>600</v>
      </c>
      <c r="C83" s="177" t="e">
        <f t="shared" si="4"/>
        <v>#REF!</v>
      </c>
    </row>
    <row r="84" spans="1:3" ht="12.75">
      <c r="A84" s="178">
        <f t="shared" si="5"/>
        <v>24</v>
      </c>
      <c r="B84" s="179" t="e">
        <f>#REF!</f>
        <v>#REF!</v>
      </c>
      <c r="C84" s="177" t="e">
        <f t="shared" si="4"/>
        <v>#REF!</v>
      </c>
    </row>
    <row r="85" spans="1:3" ht="12.75">
      <c r="A85" s="178">
        <f t="shared" si="5"/>
        <v>23</v>
      </c>
      <c r="B85" s="179" t="e">
        <f>#REF!</f>
        <v>#REF!</v>
      </c>
      <c r="C85" s="177" t="e">
        <f t="shared" si="4"/>
        <v>#REF!</v>
      </c>
    </row>
    <row r="86" spans="1:3" ht="12.75">
      <c r="A86" s="178">
        <f t="shared" si="5"/>
        <v>22</v>
      </c>
      <c r="B86" s="179" t="e">
        <f>#REF!</f>
        <v>#REF!</v>
      </c>
      <c r="C86" s="177" t="e">
        <f t="shared" si="4"/>
        <v>#REF!</v>
      </c>
    </row>
    <row r="87" spans="1:3" ht="12.75">
      <c r="A87" s="178">
        <f t="shared" si="5"/>
        <v>21</v>
      </c>
      <c r="B87" s="179" t="e">
        <f>#REF!</f>
        <v>#REF!</v>
      </c>
      <c r="C87" s="177" t="e">
        <f t="shared" si="4"/>
        <v>#REF!</v>
      </c>
    </row>
    <row r="88" spans="1:3" ht="12.75">
      <c r="A88" s="178">
        <f t="shared" si="5"/>
        <v>20</v>
      </c>
      <c r="B88" s="179" t="e">
        <f>#REF!</f>
        <v>#REF!</v>
      </c>
      <c r="C88" s="177" t="e">
        <f t="shared" si="4"/>
        <v>#REF!</v>
      </c>
    </row>
    <row r="89" spans="1:3" ht="12.75">
      <c r="A89" s="178">
        <f t="shared" si="5"/>
        <v>19</v>
      </c>
      <c r="B89" s="179" t="e">
        <f>#REF!</f>
        <v>#REF!</v>
      </c>
      <c r="C89" s="177" t="e">
        <f t="shared" si="4"/>
        <v>#REF!</v>
      </c>
    </row>
    <row r="90" spans="1:3" ht="12.75">
      <c r="A90" s="178">
        <f t="shared" si="5"/>
        <v>18</v>
      </c>
      <c r="B90" s="179" t="e">
        <f>#REF!</f>
        <v>#REF!</v>
      </c>
      <c r="C90" s="177" t="e">
        <f t="shared" si="4"/>
        <v>#REF!</v>
      </c>
    </row>
    <row r="91" spans="1:3" ht="12.75">
      <c r="A91" s="178">
        <f t="shared" si="5"/>
        <v>17</v>
      </c>
      <c r="B91" s="179" t="e">
        <f>#REF!</f>
        <v>#REF!</v>
      </c>
      <c r="C91" s="177" t="e">
        <f t="shared" si="4"/>
        <v>#REF!</v>
      </c>
    </row>
    <row r="92" spans="1:3" ht="12.75">
      <c r="A92" s="178">
        <f t="shared" si="5"/>
        <v>16</v>
      </c>
      <c r="B92" s="179" t="e">
        <f>#REF!</f>
        <v>#REF!</v>
      </c>
      <c r="C92" s="177" t="e">
        <f t="shared" si="4"/>
        <v>#REF!</v>
      </c>
    </row>
    <row r="93" spans="1:3" ht="12.75">
      <c r="A93" s="178">
        <f t="shared" si="5"/>
        <v>15</v>
      </c>
      <c r="B93" s="179" t="e">
        <f>#REF!</f>
        <v>#REF!</v>
      </c>
      <c r="C93" s="177" t="e">
        <f t="shared" si="4"/>
        <v>#REF!</v>
      </c>
    </row>
    <row r="94" spans="1:3" ht="12.75">
      <c r="A94" s="178">
        <f t="shared" si="5"/>
        <v>14</v>
      </c>
      <c r="B94" s="179" t="e">
        <f>#REF!</f>
        <v>#REF!</v>
      </c>
      <c r="C94" s="177" t="e">
        <f t="shared" si="4"/>
        <v>#REF!</v>
      </c>
    </row>
    <row r="95" spans="1:3" ht="12.75">
      <c r="A95" s="178">
        <f t="shared" si="5"/>
        <v>13</v>
      </c>
      <c r="B95" s="179" t="e">
        <f>#REF!</f>
        <v>#REF!</v>
      </c>
      <c r="C95" s="177" t="e">
        <f t="shared" si="4"/>
        <v>#REF!</v>
      </c>
    </row>
    <row r="96" spans="1:3" ht="12.75">
      <c r="A96" s="178">
        <f t="shared" si="5"/>
        <v>12</v>
      </c>
      <c r="B96" s="179" t="e">
        <f>#REF!</f>
        <v>#REF!</v>
      </c>
      <c r="C96" s="177" t="e">
        <f t="shared" si="4"/>
        <v>#REF!</v>
      </c>
    </row>
    <row r="97" spans="1:3" ht="12.75">
      <c r="A97" s="178">
        <f t="shared" si="5"/>
        <v>11</v>
      </c>
      <c r="B97" s="179" t="e">
        <f>#REF!</f>
        <v>#REF!</v>
      </c>
      <c r="C97" s="177" t="e">
        <f t="shared" si="4"/>
        <v>#REF!</v>
      </c>
    </row>
    <row r="98" spans="1:3" ht="12.75">
      <c r="A98" s="178">
        <f>A99+1</f>
        <v>10</v>
      </c>
      <c r="B98" s="179" t="e">
        <f>#REF!</f>
        <v>#REF!</v>
      </c>
      <c r="C98" s="177" t="e">
        <f t="shared" si="4"/>
        <v>#REF!</v>
      </c>
    </row>
    <row r="99" spans="1:3" ht="12.75">
      <c r="A99" s="178">
        <v>9</v>
      </c>
      <c r="B99" s="179" t="e">
        <f>#REF!</f>
        <v>#REF!</v>
      </c>
      <c r="C99" s="177" t="e">
        <f t="shared" si="4"/>
        <v>#REF!</v>
      </c>
    </row>
    <row r="100" spans="2:3" ht="12.75">
      <c r="B100" s="175"/>
      <c r="C100" s="175"/>
    </row>
    <row r="101" spans="2:3" ht="12.75">
      <c r="B101" s="175"/>
      <c r="C101" s="180">
        <f>VLOOKUP($B45,B46:C71,2)</f>
        <v>92.00605967895471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PageLayoutView="0" workbookViewId="0" topLeftCell="A1">
      <selection activeCell="J33" sqref="J33"/>
    </sheetView>
  </sheetViews>
  <sheetFormatPr defaultColWidth="10.7109375" defaultRowHeight="12.75"/>
  <cols>
    <col min="1" max="6" width="11.7109375" style="141" customWidth="1"/>
    <col min="7" max="16384" width="10.7109375" style="141" customWidth="1"/>
  </cols>
  <sheetData>
    <row r="1" spans="1:6" s="1" customFormat="1" ht="12.75">
      <c r="A1" s="137"/>
      <c r="B1" s="138"/>
      <c r="C1" s="139" t="s">
        <v>59</v>
      </c>
      <c r="D1" s="140"/>
      <c r="E1" s="138"/>
      <c r="F1" s="141" t="s">
        <v>60</v>
      </c>
    </row>
    <row r="2" spans="1:6" s="1" customFormat="1" ht="12.75">
      <c r="A2" s="181" t="str">
        <f>'E-GRG-1'!H2</f>
        <v>Fraser</v>
      </c>
      <c r="B2" s="138"/>
      <c r="C2" s="139" t="s">
        <v>61</v>
      </c>
      <c r="D2" s="140"/>
      <c r="E2" s="138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118</v>
      </c>
      <c r="C4" s="2"/>
      <c r="D4" s="2" t="s">
        <v>63</v>
      </c>
      <c r="E4" s="3" t="s">
        <v>110</v>
      </c>
      <c r="F4" s="4"/>
    </row>
    <row r="5" spans="1:6" ht="9" customHeight="1" thickBot="1">
      <c r="A5" s="138"/>
      <c r="B5" s="138"/>
      <c r="C5" s="138"/>
      <c r="D5" s="138"/>
      <c r="E5" s="138"/>
      <c r="F5" s="138"/>
    </row>
    <row r="6" spans="1:8" ht="12.75">
      <c r="A6" s="142" t="s">
        <v>24</v>
      </c>
      <c r="B6" s="143"/>
      <c r="C6" s="144" t="s">
        <v>64</v>
      </c>
      <c r="D6" s="142" t="s">
        <v>65</v>
      </c>
      <c r="E6" s="143"/>
      <c r="F6" s="145" t="s">
        <v>66</v>
      </c>
      <c r="G6" s="138"/>
      <c r="H6" s="146" t="s">
        <v>67</v>
      </c>
    </row>
    <row r="7" spans="1:8" ht="13.5" thickBot="1">
      <c r="A7" s="147" t="s">
        <v>30</v>
      </c>
      <c r="B7" s="147" t="s">
        <v>68</v>
      </c>
      <c r="C7" s="147" t="s">
        <v>12</v>
      </c>
      <c r="D7" s="147" t="s">
        <v>69</v>
      </c>
      <c r="E7" s="147" t="s">
        <v>70</v>
      </c>
      <c r="F7" s="148" t="s">
        <v>70</v>
      </c>
      <c r="G7" s="138"/>
      <c r="H7" s="149">
        <v>80</v>
      </c>
    </row>
    <row r="8" spans="1:7" ht="7.5" customHeight="1">
      <c r="A8" s="150"/>
      <c r="B8" s="150"/>
      <c r="C8" s="150"/>
      <c r="D8" s="150"/>
      <c r="E8" s="150"/>
      <c r="F8" s="151"/>
      <c r="G8" s="138"/>
    </row>
    <row r="9" spans="1:7" ht="12.75">
      <c r="A9" s="152">
        <v>28</v>
      </c>
      <c r="B9" s="152">
        <v>600</v>
      </c>
      <c r="C9" s="201">
        <v>0</v>
      </c>
      <c r="D9" s="153">
        <f>C9/C20*100</f>
        <v>0</v>
      </c>
      <c r="E9" s="153">
        <f>D9</f>
        <v>0</v>
      </c>
      <c r="F9" s="154">
        <f aca="true" t="shared" si="0" ref="F9:F19">100-E9</f>
        <v>100</v>
      </c>
      <c r="G9" s="155"/>
    </row>
    <row r="10" spans="1:7" ht="12.75">
      <c r="A10" s="152">
        <v>35</v>
      </c>
      <c r="B10" s="152">
        <v>425</v>
      </c>
      <c r="C10" s="201">
        <v>0</v>
      </c>
      <c r="D10" s="153">
        <f>C10/C20*100</f>
        <v>0</v>
      </c>
      <c r="E10" s="153">
        <f aca="true" t="shared" si="1" ref="E10:E19">E9+D10</f>
        <v>0</v>
      </c>
      <c r="F10" s="154">
        <f t="shared" si="0"/>
        <v>100</v>
      </c>
      <c r="G10" s="155"/>
    </row>
    <row r="11" spans="1:10" ht="12.75">
      <c r="A11" s="152">
        <v>48</v>
      </c>
      <c r="B11" s="152">
        <v>300</v>
      </c>
      <c r="C11" s="201">
        <v>0</v>
      </c>
      <c r="D11" s="153">
        <f>C11/C20*100</f>
        <v>0</v>
      </c>
      <c r="E11" s="153">
        <f t="shared" si="1"/>
        <v>0</v>
      </c>
      <c r="F11" s="154">
        <f t="shared" si="0"/>
        <v>100</v>
      </c>
      <c r="G11" s="155"/>
      <c r="J11" s="453"/>
    </row>
    <row r="12" spans="1:7" ht="12.75">
      <c r="A12" s="152">
        <v>65</v>
      </c>
      <c r="B12" s="152">
        <v>212</v>
      </c>
      <c r="C12" s="201">
        <v>0</v>
      </c>
      <c r="D12" s="153">
        <f>C12/C20*100</f>
        <v>0</v>
      </c>
      <c r="E12" s="153">
        <f t="shared" si="1"/>
        <v>0</v>
      </c>
      <c r="F12" s="154">
        <f t="shared" si="0"/>
        <v>100</v>
      </c>
      <c r="G12" s="155"/>
    </row>
    <row r="13" spans="1:9" ht="12.75">
      <c r="A13" s="152">
        <v>100</v>
      </c>
      <c r="B13" s="152">
        <v>150</v>
      </c>
      <c r="C13" s="201">
        <v>0.9</v>
      </c>
      <c r="D13" s="153">
        <f>C13/C20*100</f>
        <v>0.2971277649389238</v>
      </c>
      <c r="E13" s="153">
        <f t="shared" si="1"/>
        <v>0.2971277649389238</v>
      </c>
      <c r="F13" s="154">
        <f t="shared" si="0"/>
        <v>99.70287223506108</v>
      </c>
      <c r="G13" s="155"/>
      <c r="I13" s="453"/>
    </row>
    <row r="14" spans="1:10" ht="12.75">
      <c r="A14" s="152">
        <v>150</v>
      </c>
      <c r="B14" s="152">
        <v>106</v>
      </c>
      <c r="C14" s="201">
        <v>11.3</v>
      </c>
      <c r="D14" s="153">
        <f>C14/C20*100</f>
        <v>3.73060415978871</v>
      </c>
      <c r="E14" s="153">
        <f t="shared" si="1"/>
        <v>4.027731924727633</v>
      </c>
      <c r="F14" s="154">
        <f t="shared" si="0"/>
        <v>95.97226807527237</v>
      </c>
      <c r="G14" s="155"/>
      <c r="J14" s="183"/>
    </row>
    <row r="15" spans="1:7" ht="12.75">
      <c r="A15" s="152">
        <v>200</v>
      </c>
      <c r="B15" s="152">
        <v>75</v>
      </c>
      <c r="C15" s="201">
        <v>57</v>
      </c>
      <c r="D15" s="153">
        <f>C15/C20*100</f>
        <v>18.81809177946517</v>
      </c>
      <c r="E15" s="153">
        <f t="shared" si="1"/>
        <v>22.845823704192803</v>
      </c>
      <c r="F15" s="154">
        <f t="shared" si="0"/>
        <v>77.15417629580719</v>
      </c>
      <c r="G15" s="155"/>
    </row>
    <row r="16" spans="1:7" ht="12.75">
      <c r="A16" s="152">
        <v>270</v>
      </c>
      <c r="B16" s="152">
        <v>53</v>
      </c>
      <c r="C16" s="201">
        <v>52.4</v>
      </c>
      <c r="D16" s="153">
        <f>C16/C20*100</f>
        <v>17.299438758666227</v>
      </c>
      <c r="E16" s="153">
        <f t="shared" si="1"/>
        <v>40.14526246285903</v>
      </c>
      <c r="F16" s="154">
        <f t="shared" si="0"/>
        <v>59.85473753714097</v>
      </c>
      <c r="G16" s="155"/>
    </row>
    <row r="17" spans="1:7" ht="12.75">
      <c r="A17" s="152">
        <v>400</v>
      </c>
      <c r="B17" s="152">
        <v>38</v>
      </c>
      <c r="C17" s="201">
        <v>49</v>
      </c>
      <c r="D17" s="153">
        <f>C17/C20*100</f>
        <v>16.176956091119184</v>
      </c>
      <c r="E17" s="153">
        <f t="shared" si="1"/>
        <v>56.32221855397822</v>
      </c>
      <c r="F17" s="154">
        <f t="shared" si="0"/>
        <v>43.67778144602178</v>
      </c>
      <c r="G17" s="155"/>
    </row>
    <row r="18" spans="1:7" ht="12.75">
      <c r="A18" s="152">
        <v>500</v>
      </c>
      <c r="B18" s="152">
        <v>25</v>
      </c>
      <c r="C18" s="201">
        <v>31</v>
      </c>
      <c r="D18" s="153">
        <f>C18/C20*100</f>
        <v>10.234400792340708</v>
      </c>
      <c r="E18" s="153">
        <f t="shared" si="1"/>
        <v>66.55661934631893</v>
      </c>
      <c r="F18" s="154">
        <f t="shared" si="0"/>
        <v>33.443380653681075</v>
      </c>
      <c r="G18" s="155"/>
    </row>
    <row r="19" spans="1:7" ht="12.75">
      <c r="A19" s="152" t="s">
        <v>71</v>
      </c>
      <c r="B19" s="152">
        <f>-B18</f>
        <v>-25</v>
      </c>
      <c r="C19" s="153">
        <v>101.3</v>
      </c>
      <c r="D19" s="153">
        <f>C19/C20*100</f>
        <v>33.44338065368108</v>
      </c>
      <c r="E19" s="153">
        <f t="shared" si="1"/>
        <v>100</v>
      </c>
      <c r="F19" s="154">
        <f t="shared" si="0"/>
        <v>0</v>
      </c>
      <c r="G19" s="155"/>
    </row>
    <row r="20" spans="1:7" ht="12.75">
      <c r="A20" s="156" t="s">
        <v>36</v>
      </c>
      <c r="B20" s="156" t="s">
        <v>72</v>
      </c>
      <c r="C20" s="157">
        <v>302.9</v>
      </c>
      <c r="D20" s="153">
        <f>SUM(D9:D19)</f>
        <v>100</v>
      </c>
      <c r="E20" s="156" t="s">
        <v>72</v>
      </c>
      <c r="F20" s="158" t="s">
        <v>72</v>
      </c>
      <c r="G20" s="138"/>
    </row>
    <row r="21" spans="1:6" ht="12.75">
      <c r="A21" s="159" t="str">
        <f>"K"&amp;H7</f>
        <v>K80</v>
      </c>
      <c r="B21" s="160">
        <f>C101</f>
        <v>79.432010836497</v>
      </c>
      <c r="C21" s="161"/>
      <c r="D21" s="162"/>
      <c r="E21" s="161"/>
      <c r="F21" s="163"/>
    </row>
    <row r="22" spans="1:6" ht="12.75">
      <c r="A22" s="164"/>
      <c r="B22" s="165"/>
      <c r="C22" s="166"/>
      <c r="D22" s="167"/>
      <c r="E22" s="166"/>
      <c r="F22" s="166"/>
    </row>
    <row r="23" spans="1:6" ht="12.75">
      <c r="A23" s="164"/>
      <c r="B23" s="165"/>
      <c r="C23" s="166"/>
      <c r="D23" s="167"/>
      <c r="E23" s="166"/>
      <c r="F23" s="166"/>
    </row>
    <row r="24" spans="1:6" ht="12.75">
      <c r="A24" s="164"/>
      <c r="B24" s="165"/>
      <c r="C24" s="166"/>
      <c r="D24" s="167"/>
      <c r="E24" s="166"/>
      <c r="F24" s="166"/>
    </row>
    <row r="25" ht="7.5" customHeight="1"/>
    <row r="29" spans="8:9" ht="12.75">
      <c r="H29" s="168" t="s">
        <v>73</v>
      </c>
      <c r="I29" s="169"/>
    </row>
    <row r="30" spans="8:9" ht="12.75">
      <c r="H30" s="170">
        <v>10</v>
      </c>
      <c r="I30" s="171">
        <f>H7</f>
        <v>80</v>
      </c>
    </row>
    <row r="31" spans="8:9" ht="12.75">
      <c r="H31" s="171">
        <f>B21</f>
        <v>79.432010836497</v>
      </c>
      <c r="I31" s="170">
        <f>I30</f>
        <v>80</v>
      </c>
    </row>
    <row r="32" spans="8:9" ht="12.75">
      <c r="H32" s="171">
        <f>H31</f>
        <v>79.432010836497</v>
      </c>
      <c r="I32" s="170">
        <v>0</v>
      </c>
    </row>
    <row r="33" spans="8:9" ht="12.75">
      <c r="H33" s="172"/>
      <c r="I33" s="172"/>
    </row>
    <row r="34" spans="8:9" ht="12.75">
      <c r="H34" s="173" t="str">
        <f>A21&amp;" = "&amp;ROUND(B21,0)&amp;" µm"</f>
        <v>K80 = 79 µm</v>
      </c>
      <c r="I34" s="172"/>
    </row>
    <row r="36" ht="12.75"/>
    <row r="37" ht="12.75"/>
    <row r="38" ht="12.75"/>
    <row r="45" spans="2:3" ht="12.75">
      <c r="B45" s="174">
        <f>H7</f>
        <v>80</v>
      </c>
      <c r="C45" s="175" t="s">
        <v>74</v>
      </c>
    </row>
    <row r="46" spans="1:3" ht="12.75">
      <c r="A46" s="141">
        <v>34</v>
      </c>
      <c r="B46" s="176">
        <f>F$18</f>
        <v>33.443380653681075</v>
      </c>
      <c r="C46" s="177">
        <f>10^C74</f>
        <v>98.16931156746254</v>
      </c>
    </row>
    <row r="47" spans="1:3" ht="12.75">
      <c r="A47" s="141">
        <f>A46-1</f>
        <v>33</v>
      </c>
      <c r="B47" s="176">
        <f>F$17</f>
        <v>43.67778144602178</v>
      </c>
      <c r="C47" s="177">
        <f aca="true" t="shared" si="2" ref="C47:C71">10^C75</f>
        <v>71.9970856972763</v>
      </c>
    </row>
    <row r="48" spans="1:3" ht="12.75">
      <c r="A48" s="141">
        <f aca="true" t="shared" si="3" ref="A48:A62">A47-1</f>
        <v>32</v>
      </c>
      <c r="B48" s="176">
        <f>F$16</f>
        <v>59.85473753714097</v>
      </c>
      <c r="C48" s="177">
        <f t="shared" si="2"/>
        <v>78.8085435660699</v>
      </c>
    </row>
    <row r="49" spans="1:3" ht="12.75">
      <c r="A49" s="141">
        <f t="shared" si="3"/>
        <v>31</v>
      </c>
      <c r="B49" s="176">
        <f>F$15</f>
        <v>77.15417629580719</v>
      </c>
      <c r="C49" s="177">
        <f t="shared" si="2"/>
        <v>79.432010836497</v>
      </c>
    </row>
    <row r="50" spans="1:3" ht="12.75">
      <c r="A50" s="141">
        <f t="shared" si="3"/>
        <v>30</v>
      </c>
      <c r="B50" s="176">
        <f>F$14</f>
        <v>95.97226807527237</v>
      </c>
      <c r="C50" s="177">
        <f t="shared" si="2"/>
        <v>20.20945745313264</v>
      </c>
    </row>
    <row r="51" spans="1:3" ht="12.75">
      <c r="A51" s="141">
        <f t="shared" si="3"/>
        <v>29</v>
      </c>
      <c r="B51" s="176">
        <f>F$13</f>
        <v>99.70287223506108</v>
      </c>
      <c r="C51" s="177">
        <f t="shared" si="2"/>
        <v>1.1473800632376288E-09</v>
      </c>
    </row>
    <row r="52" spans="1:3" ht="12.75">
      <c r="A52" s="141">
        <f t="shared" si="3"/>
        <v>28</v>
      </c>
      <c r="B52" s="176">
        <f>F$12</f>
        <v>100</v>
      </c>
      <c r="C52" s="177" t="e">
        <f t="shared" si="2"/>
        <v>#DIV/0!</v>
      </c>
    </row>
    <row r="53" spans="1:3" ht="12.75">
      <c r="A53" s="141">
        <f t="shared" si="3"/>
        <v>27</v>
      </c>
      <c r="B53" s="176">
        <f>F$11</f>
        <v>100</v>
      </c>
      <c r="C53" s="177" t="e">
        <f t="shared" si="2"/>
        <v>#DIV/0!</v>
      </c>
    </row>
    <row r="54" spans="1:3" ht="12.75">
      <c r="A54" s="141">
        <f t="shared" si="3"/>
        <v>26</v>
      </c>
      <c r="B54" s="176">
        <f>F$10</f>
        <v>100</v>
      </c>
      <c r="C54" s="177" t="e">
        <f t="shared" si="2"/>
        <v>#DIV/0!</v>
      </c>
    </row>
    <row r="55" spans="1:3" ht="12.75">
      <c r="A55" s="141">
        <f t="shared" si="3"/>
        <v>25</v>
      </c>
      <c r="B55" s="176">
        <f>F$9</f>
        <v>100</v>
      </c>
      <c r="C55" s="177" t="e">
        <f t="shared" si="2"/>
        <v>#REF!</v>
      </c>
    </row>
    <row r="56" spans="1:3" ht="12.75">
      <c r="A56" s="141">
        <f t="shared" si="3"/>
        <v>24</v>
      </c>
      <c r="B56" s="176" t="e">
        <f>#REF!</f>
        <v>#REF!</v>
      </c>
      <c r="C56" s="177" t="e">
        <f t="shared" si="2"/>
        <v>#REF!</v>
      </c>
    </row>
    <row r="57" spans="1:3" ht="12.75">
      <c r="A57" s="141">
        <f t="shared" si="3"/>
        <v>23</v>
      </c>
      <c r="B57" s="176" t="e">
        <f>#REF!</f>
        <v>#REF!</v>
      </c>
      <c r="C57" s="177" t="e">
        <f>10^C85</f>
        <v>#REF!</v>
      </c>
    </row>
    <row r="58" spans="1:3" ht="12.75">
      <c r="A58" s="141">
        <f t="shared" si="3"/>
        <v>22</v>
      </c>
      <c r="B58" s="176" t="e">
        <f>#REF!</f>
        <v>#REF!</v>
      </c>
      <c r="C58" s="177" t="e">
        <f t="shared" si="2"/>
        <v>#REF!</v>
      </c>
    </row>
    <row r="59" spans="1:3" ht="12.75">
      <c r="A59" s="141">
        <f t="shared" si="3"/>
        <v>21</v>
      </c>
      <c r="B59" s="176" t="e">
        <f>#REF!</f>
        <v>#REF!</v>
      </c>
      <c r="C59" s="177" t="e">
        <f t="shared" si="2"/>
        <v>#REF!</v>
      </c>
    </row>
    <row r="60" spans="1:3" ht="12.75">
      <c r="A60" s="141">
        <f t="shared" si="3"/>
        <v>20</v>
      </c>
      <c r="B60" s="176" t="e">
        <f>#REF!</f>
        <v>#REF!</v>
      </c>
      <c r="C60" s="177" t="e">
        <f t="shared" si="2"/>
        <v>#REF!</v>
      </c>
    </row>
    <row r="61" spans="1:3" ht="12.75">
      <c r="A61" s="141">
        <f t="shared" si="3"/>
        <v>19</v>
      </c>
      <c r="B61" s="176" t="e">
        <f>#REF!</f>
        <v>#REF!</v>
      </c>
      <c r="C61" s="177" t="e">
        <f t="shared" si="2"/>
        <v>#REF!</v>
      </c>
    </row>
    <row r="62" spans="1:3" ht="12.75">
      <c r="A62" s="141">
        <f t="shared" si="3"/>
        <v>18</v>
      </c>
      <c r="B62" s="176" t="e">
        <f>#REF!</f>
        <v>#REF!</v>
      </c>
      <c r="C62" s="177" t="e">
        <f t="shared" si="2"/>
        <v>#REF!</v>
      </c>
    </row>
    <row r="63" spans="1:3" ht="12.75">
      <c r="A63" s="141">
        <f aca="true" t="shared" si="4" ref="A63:A71">A62-1</f>
        <v>17</v>
      </c>
      <c r="B63" s="176" t="e">
        <f>#REF!</f>
        <v>#REF!</v>
      </c>
      <c r="C63" s="177" t="e">
        <f t="shared" si="2"/>
        <v>#REF!</v>
      </c>
    </row>
    <row r="64" spans="1:3" ht="12.75">
      <c r="A64" s="141">
        <f t="shared" si="4"/>
        <v>16</v>
      </c>
      <c r="B64" s="176" t="e">
        <f>#REF!</f>
        <v>#REF!</v>
      </c>
      <c r="C64" s="177" t="e">
        <f t="shared" si="2"/>
        <v>#REF!</v>
      </c>
    </row>
    <row r="65" spans="1:3" ht="12.75">
      <c r="A65" s="141">
        <f t="shared" si="4"/>
        <v>15</v>
      </c>
      <c r="B65" s="176" t="e">
        <f>#REF!</f>
        <v>#REF!</v>
      </c>
      <c r="C65" s="177" t="e">
        <f t="shared" si="2"/>
        <v>#REF!</v>
      </c>
    </row>
    <row r="66" spans="1:3" ht="12.75">
      <c r="A66" s="141">
        <f t="shared" si="4"/>
        <v>14</v>
      </c>
      <c r="B66" s="176" t="e">
        <f>#REF!</f>
        <v>#REF!</v>
      </c>
      <c r="C66" s="177" t="e">
        <f t="shared" si="2"/>
        <v>#REF!</v>
      </c>
    </row>
    <row r="67" spans="1:3" ht="12.75">
      <c r="A67" s="141">
        <f t="shared" si="4"/>
        <v>13</v>
      </c>
      <c r="B67" s="176" t="e">
        <f>#REF!</f>
        <v>#REF!</v>
      </c>
      <c r="C67" s="177" t="e">
        <f t="shared" si="2"/>
        <v>#REF!</v>
      </c>
    </row>
    <row r="68" spans="1:3" ht="12.75">
      <c r="A68" s="141">
        <f t="shared" si="4"/>
        <v>12</v>
      </c>
      <c r="B68" s="176" t="e">
        <f>#REF!</f>
        <v>#REF!</v>
      </c>
      <c r="C68" s="177" t="e">
        <f t="shared" si="2"/>
        <v>#REF!</v>
      </c>
    </row>
    <row r="69" spans="1:3" ht="12.75">
      <c r="A69" s="141">
        <f t="shared" si="4"/>
        <v>11</v>
      </c>
      <c r="B69" s="176" t="e">
        <f>#REF!</f>
        <v>#REF!</v>
      </c>
      <c r="C69" s="177" t="e">
        <f t="shared" si="2"/>
        <v>#REF!</v>
      </c>
    </row>
    <row r="70" spans="1:3" ht="12.75">
      <c r="A70" s="141">
        <f t="shared" si="4"/>
        <v>10</v>
      </c>
      <c r="B70" s="176" t="e">
        <f>#REF!</f>
        <v>#REF!</v>
      </c>
      <c r="C70" s="177" t="e">
        <f t="shared" si="2"/>
        <v>#REF!</v>
      </c>
    </row>
    <row r="71" spans="1:3" ht="12.75">
      <c r="A71" s="141">
        <f t="shared" si="4"/>
        <v>9</v>
      </c>
      <c r="B71" s="176" t="e">
        <f>#REF!</f>
        <v>#REF!</v>
      </c>
      <c r="C71" s="177" t="e">
        <f t="shared" si="2"/>
        <v>#REF!</v>
      </c>
    </row>
    <row r="72" spans="2:3" ht="12.75">
      <c r="B72" s="176"/>
      <c r="C72" s="175"/>
    </row>
    <row r="73" spans="2:3" ht="12.75">
      <c r="B73" s="174"/>
      <c r="C73" s="175"/>
    </row>
    <row r="74" spans="1:3" ht="12.75">
      <c r="A74" s="178">
        <f>A75+1</f>
        <v>34</v>
      </c>
      <c r="B74" s="179">
        <f>B18</f>
        <v>25</v>
      </c>
      <c r="C74" s="177">
        <f aca="true" t="shared" si="5" ref="C74:C84">(LOG(B$45)-LOG(B46))/(LOG(B47)-LOG(B46))*(LOG(B75)-LOG(B74))+LOG(B74)</f>
        <v>1.991975745425667</v>
      </c>
    </row>
    <row r="75" spans="1:3" ht="12.75">
      <c r="A75" s="178">
        <f>A76+1</f>
        <v>33</v>
      </c>
      <c r="B75" s="179">
        <f>B17</f>
        <v>38</v>
      </c>
      <c r="C75" s="177">
        <f t="shared" si="5"/>
        <v>1.8573149173867265</v>
      </c>
    </row>
    <row r="76" spans="1:3" ht="12.75">
      <c r="A76" s="178">
        <f>A77+1</f>
        <v>32</v>
      </c>
      <c r="B76" s="179">
        <f>B16</f>
        <v>53</v>
      </c>
      <c r="C76" s="177">
        <f t="shared" si="5"/>
        <v>1.8965733015310624</v>
      </c>
    </row>
    <row r="77" spans="1:3" ht="12.75">
      <c r="A77" s="178">
        <f>A78+1</f>
        <v>31</v>
      </c>
      <c r="B77" s="179">
        <f>B15</f>
        <v>75</v>
      </c>
      <c r="C77" s="177">
        <f t="shared" si="5"/>
        <v>1.8999955569361557</v>
      </c>
    </row>
    <row r="78" spans="1:3" ht="12.75">
      <c r="A78" s="178">
        <f aca="true" t="shared" si="6" ref="A78:A97">A79+1</f>
        <v>30</v>
      </c>
      <c r="B78" s="179">
        <f>B14</f>
        <v>106</v>
      </c>
      <c r="C78" s="177">
        <f t="shared" si="5"/>
        <v>1.3055546545210703</v>
      </c>
    </row>
    <row r="79" spans="1:3" ht="12.75">
      <c r="A79" s="178">
        <f t="shared" si="6"/>
        <v>29</v>
      </c>
      <c r="B79" s="179">
        <f>B13</f>
        <v>150</v>
      </c>
      <c r="C79" s="177">
        <f t="shared" si="5"/>
        <v>-8.940292700645932</v>
      </c>
    </row>
    <row r="80" spans="1:3" ht="12.75">
      <c r="A80" s="178">
        <f t="shared" si="6"/>
        <v>28</v>
      </c>
      <c r="B80" s="179">
        <f>B12</f>
        <v>212</v>
      </c>
      <c r="C80" s="177" t="e">
        <f t="shared" si="5"/>
        <v>#DIV/0!</v>
      </c>
    </row>
    <row r="81" spans="1:3" ht="12.75">
      <c r="A81" s="178">
        <f t="shared" si="6"/>
        <v>27</v>
      </c>
      <c r="B81" s="179">
        <f>B11</f>
        <v>300</v>
      </c>
      <c r="C81" s="177" t="e">
        <f t="shared" si="5"/>
        <v>#DIV/0!</v>
      </c>
    </row>
    <row r="82" spans="1:3" ht="12.75">
      <c r="A82" s="178">
        <f t="shared" si="6"/>
        <v>26</v>
      </c>
      <c r="B82" s="179">
        <f>B10</f>
        <v>425</v>
      </c>
      <c r="C82" s="177" t="e">
        <f t="shared" si="5"/>
        <v>#DIV/0!</v>
      </c>
    </row>
    <row r="83" spans="1:3" ht="12.75">
      <c r="A83" s="178">
        <f t="shared" si="6"/>
        <v>25</v>
      </c>
      <c r="B83" s="179">
        <f>B9</f>
        <v>600</v>
      </c>
      <c r="C83" s="177" t="e">
        <f t="shared" si="5"/>
        <v>#REF!</v>
      </c>
    </row>
    <row r="84" spans="1:3" ht="12.75">
      <c r="A84" s="178">
        <f t="shared" si="6"/>
        <v>24</v>
      </c>
      <c r="B84" s="179" t="e">
        <f>#REF!</f>
        <v>#REF!</v>
      </c>
      <c r="C84" s="177" t="e">
        <f t="shared" si="5"/>
        <v>#REF!</v>
      </c>
    </row>
    <row r="85" spans="1:3" ht="12.75">
      <c r="A85" s="178">
        <f t="shared" si="6"/>
        <v>23</v>
      </c>
      <c r="B85" s="179" t="e">
        <f>#REF!</f>
        <v>#REF!</v>
      </c>
      <c r="C85" s="177" t="e">
        <f aca="true" t="shared" si="7" ref="C85:C99">(LOG(B$45)-LOG(B57))/(LOG(B58)-LOG(B57))*(LOG(B86)-LOG(B85))+LOG(B85)</f>
        <v>#REF!</v>
      </c>
    </row>
    <row r="86" spans="1:3" ht="12.75">
      <c r="A86" s="178">
        <f t="shared" si="6"/>
        <v>22</v>
      </c>
      <c r="B86" s="179" t="e">
        <f>#REF!</f>
        <v>#REF!</v>
      </c>
      <c r="C86" s="177" t="e">
        <f t="shared" si="7"/>
        <v>#REF!</v>
      </c>
    </row>
    <row r="87" spans="1:3" ht="12.75">
      <c r="A87" s="178">
        <f t="shared" si="6"/>
        <v>21</v>
      </c>
      <c r="B87" s="179" t="e">
        <f>#REF!</f>
        <v>#REF!</v>
      </c>
      <c r="C87" s="177" t="e">
        <f t="shared" si="7"/>
        <v>#REF!</v>
      </c>
    </row>
    <row r="88" spans="1:3" ht="12.75">
      <c r="A88" s="178">
        <f t="shared" si="6"/>
        <v>20</v>
      </c>
      <c r="B88" s="179" t="e">
        <f>#REF!</f>
        <v>#REF!</v>
      </c>
      <c r="C88" s="177" t="e">
        <f t="shared" si="7"/>
        <v>#REF!</v>
      </c>
    </row>
    <row r="89" spans="1:3" ht="12.75">
      <c r="A89" s="178">
        <f t="shared" si="6"/>
        <v>19</v>
      </c>
      <c r="B89" s="179" t="e">
        <f>#REF!</f>
        <v>#REF!</v>
      </c>
      <c r="C89" s="177" t="e">
        <f t="shared" si="7"/>
        <v>#REF!</v>
      </c>
    </row>
    <row r="90" spans="1:3" ht="12.75">
      <c r="A90" s="178">
        <f t="shared" si="6"/>
        <v>18</v>
      </c>
      <c r="B90" s="179" t="e">
        <f>#REF!</f>
        <v>#REF!</v>
      </c>
      <c r="C90" s="177" t="e">
        <f t="shared" si="7"/>
        <v>#REF!</v>
      </c>
    </row>
    <row r="91" spans="1:3" ht="12.75">
      <c r="A91" s="178">
        <f t="shared" si="6"/>
        <v>17</v>
      </c>
      <c r="B91" s="179" t="e">
        <f>#REF!</f>
        <v>#REF!</v>
      </c>
      <c r="C91" s="177" t="e">
        <f t="shared" si="7"/>
        <v>#REF!</v>
      </c>
    </row>
    <row r="92" spans="1:3" ht="12.75">
      <c r="A92" s="178">
        <f t="shared" si="6"/>
        <v>16</v>
      </c>
      <c r="B92" s="179" t="e">
        <f>#REF!</f>
        <v>#REF!</v>
      </c>
      <c r="C92" s="177" t="e">
        <f t="shared" si="7"/>
        <v>#REF!</v>
      </c>
    </row>
    <row r="93" spans="1:3" ht="12.75">
      <c r="A93" s="178">
        <f t="shared" si="6"/>
        <v>15</v>
      </c>
      <c r="B93" s="179" t="e">
        <f>#REF!</f>
        <v>#REF!</v>
      </c>
      <c r="C93" s="177" t="e">
        <f t="shared" si="7"/>
        <v>#REF!</v>
      </c>
    </row>
    <row r="94" spans="1:3" ht="12.75">
      <c r="A94" s="178">
        <f t="shared" si="6"/>
        <v>14</v>
      </c>
      <c r="B94" s="179" t="e">
        <f>#REF!</f>
        <v>#REF!</v>
      </c>
      <c r="C94" s="177" t="e">
        <f t="shared" si="7"/>
        <v>#REF!</v>
      </c>
    </row>
    <row r="95" spans="1:3" ht="12.75">
      <c r="A95" s="178">
        <f t="shared" si="6"/>
        <v>13</v>
      </c>
      <c r="B95" s="179" t="e">
        <f>#REF!</f>
        <v>#REF!</v>
      </c>
      <c r="C95" s="177" t="e">
        <f t="shared" si="7"/>
        <v>#REF!</v>
      </c>
    </row>
    <row r="96" spans="1:3" ht="12.75">
      <c r="A96" s="178">
        <f t="shared" si="6"/>
        <v>12</v>
      </c>
      <c r="B96" s="179" t="e">
        <f>#REF!</f>
        <v>#REF!</v>
      </c>
      <c r="C96" s="177" t="e">
        <f t="shared" si="7"/>
        <v>#REF!</v>
      </c>
    </row>
    <row r="97" spans="1:3" ht="12.75">
      <c r="A97" s="178">
        <f t="shared" si="6"/>
        <v>11</v>
      </c>
      <c r="B97" s="179" t="e">
        <f>#REF!</f>
        <v>#REF!</v>
      </c>
      <c r="C97" s="177" t="e">
        <f t="shared" si="7"/>
        <v>#REF!</v>
      </c>
    </row>
    <row r="98" spans="1:3" ht="12.75">
      <c r="A98" s="178">
        <f>A99+1</f>
        <v>10</v>
      </c>
      <c r="B98" s="179" t="e">
        <f>#REF!</f>
        <v>#REF!</v>
      </c>
      <c r="C98" s="177" t="e">
        <f t="shared" si="7"/>
        <v>#REF!</v>
      </c>
    </row>
    <row r="99" spans="1:3" ht="12.75">
      <c r="A99" s="178">
        <v>9</v>
      </c>
      <c r="B99" s="179" t="e">
        <f>#REF!</f>
        <v>#REF!</v>
      </c>
      <c r="C99" s="177" t="e">
        <f t="shared" si="7"/>
        <v>#REF!</v>
      </c>
    </row>
    <row r="100" spans="2:3" ht="12.75">
      <c r="B100" s="175"/>
      <c r="C100" s="175"/>
    </row>
    <row r="101" spans="2:3" ht="12.75">
      <c r="B101" s="175"/>
      <c r="C101" s="180">
        <f>VLOOKUP($B45,B46:C71,2)</f>
        <v>79.432010836497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showGridLines="0" zoomScalePageLayoutView="0" workbookViewId="0" topLeftCell="A1">
      <selection activeCell="C18" sqref="C18"/>
    </sheetView>
  </sheetViews>
  <sheetFormatPr defaultColWidth="10.7109375" defaultRowHeight="12.75"/>
  <cols>
    <col min="1" max="6" width="11.7109375" style="188" customWidth="1"/>
    <col min="7" max="16384" width="10.7109375" style="188" customWidth="1"/>
  </cols>
  <sheetData>
    <row r="1" spans="1:6" s="1" customFormat="1" ht="12.75">
      <c r="A1" s="184"/>
      <c r="B1" s="185"/>
      <c r="C1" s="186" t="s">
        <v>59</v>
      </c>
      <c r="D1" s="187"/>
      <c r="E1" s="185"/>
      <c r="F1" s="188" t="s">
        <v>60</v>
      </c>
    </row>
    <row r="2" spans="1:6" s="1" customFormat="1" ht="12.75">
      <c r="A2" s="181" t="str">
        <f>'E-GRG-1'!H2</f>
        <v>Fraser</v>
      </c>
      <c r="B2" s="185"/>
      <c r="C2" s="186" t="s">
        <v>61</v>
      </c>
      <c r="D2" s="187"/>
      <c r="E2" s="185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105</v>
      </c>
      <c r="C4" s="2"/>
      <c r="D4" s="2" t="s">
        <v>63</v>
      </c>
      <c r="E4" s="3" t="s">
        <v>108</v>
      </c>
      <c r="F4" s="4" t="s">
        <v>95</v>
      </c>
    </row>
    <row r="5" spans="1:6" ht="9" customHeight="1" thickBot="1">
      <c r="A5" s="185"/>
      <c r="B5" s="185"/>
      <c r="C5" s="185"/>
      <c r="D5" s="185"/>
      <c r="E5" s="185"/>
      <c r="F5" s="185"/>
    </row>
    <row r="6" spans="1:8" ht="12.75">
      <c r="A6" s="190" t="s">
        <v>24</v>
      </c>
      <c r="B6" s="191"/>
      <c r="C6" s="192" t="s">
        <v>64</v>
      </c>
      <c r="D6" s="190" t="s">
        <v>65</v>
      </c>
      <c r="E6" s="191"/>
      <c r="F6" s="193" t="s">
        <v>66</v>
      </c>
      <c r="G6" s="185"/>
      <c r="H6" s="194" t="s">
        <v>67</v>
      </c>
    </row>
    <row r="7" spans="1:8" ht="13.5" thickBot="1">
      <c r="A7" s="195" t="s">
        <v>30</v>
      </c>
      <c r="B7" s="195" t="s">
        <v>68</v>
      </c>
      <c r="C7" s="195" t="s">
        <v>12</v>
      </c>
      <c r="D7" s="195" t="s">
        <v>69</v>
      </c>
      <c r="E7" s="195" t="s">
        <v>70</v>
      </c>
      <c r="F7" s="196" t="s">
        <v>70</v>
      </c>
      <c r="G7" s="185"/>
      <c r="H7" s="197">
        <v>80</v>
      </c>
    </row>
    <row r="8" spans="1:7" ht="7.5" customHeight="1">
      <c r="A8" s="198"/>
      <c r="B8" s="198"/>
      <c r="C8" s="198"/>
      <c r="D8" s="198"/>
      <c r="E8" s="198"/>
      <c r="F8" s="199"/>
      <c r="G8" s="185"/>
    </row>
    <row r="9" spans="1:9" ht="12.75">
      <c r="A9" s="200">
        <v>10</v>
      </c>
      <c r="B9" s="200">
        <v>1700</v>
      </c>
      <c r="C9" s="201">
        <v>0</v>
      </c>
      <c r="D9" s="202">
        <f>C9/C22*100</f>
        <v>0</v>
      </c>
      <c r="E9" s="202">
        <f>D9</f>
        <v>0</v>
      </c>
      <c r="F9" s="203">
        <f aca="true" t="shared" si="0" ref="F9:F21">100-E9</f>
        <v>100</v>
      </c>
      <c r="G9" s="204"/>
      <c r="H9" s="205"/>
      <c r="I9" s="205"/>
    </row>
    <row r="10" spans="1:7" ht="12.75">
      <c r="A10" s="200">
        <v>20</v>
      </c>
      <c r="B10" s="200">
        <v>850</v>
      </c>
      <c r="C10" s="201">
        <v>1.2</v>
      </c>
      <c r="D10" s="202">
        <f>C10/C22*100</f>
        <v>1.3029315960912053</v>
      </c>
      <c r="E10" s="202">
        <f aca="true" t="shared" si="1" ref="E10:E21">E9+D10</f>
        <v>1.3029315960912053</v>
      </c>
      <c r="F10" s="203">
        <f t="shared" si="0"/>
        <v>98.6970684039088</v>
      </c>
      <c r="G10" s="204"/>
    </row>
    <row r="11" spans="1:7" ht="12.75">
      <c r="A11" s="200">
        <v>28</v>
      </c>
      <c r="B11" s="200">
        <v>600</v>
      </c>
      <c r="C11" s="201">
        <v>25.9</v>
      </c>
      <c r="D11" s="202">
        <f>C11/C22*100</f>
        <v>28.121606948968513</v>
      </c>
      <c r="E11" s="202">
        <f t="shared" si="1"/>
        <v>29.42453854505972</v>
      </c>
      <c r="F11" s="203">
        <f t="shared" si="0"/>
        <v>70.57546145494028</v>
      </c>
      <c r="G11" s="204"/>
    </row>
    <row r="12" spans="1:7" ht="12.75">
      <c r="A12" s="200">
        <v>35</v>
      </c>
      <c r="B12" s="200">
        <v>425</v>
      </c>
      <c r="C12" s="201">
        <v>21.2</v>
      </c>
      <c r="D12" s="202">
        <f>C12/C22*100</f>
        <v>23.018458197611295</v>
      </c>
      <c r="E12" s="202">
        <f t="shared" si="1"/>
        <v>52.44299674267101</v>
      </c>
      <c r="F12" s="203">
        <f t="shared" si="0"/>
        <v>47.55700325732899</v>
      </c>
      <c r="G12" s="204"/>
    </row>
    <row r="13" spans="1:7" ht="12.75">
      <c r="A13" s="200">
        <v>48</v>
      </c>
      <c r="B13" s="200">
        <v>300</v>
      </c>
      <c r="C13" s="201">
        <v>15.9</v>
      </c>
      <c r="D13" s="202">
        <f>C13/C22*100</f>
        <v>17.26384364820847</v>
      </c>
      <c r="E13" s="202">
        <f t="shared" si="1"/>
        <v>69.70684039087948</v>
      </c>
      <c r="F13" s="203">
        <f t="shared" si="0"/>
        <v>30.293159609120522</v>
      </c>
      <c r="G13" s="204"/>
    </row>
    <row r="14" spans="1:7" ht="12.75">
      <c r="A14" s="200">
        <v>65</v>
      </c>
      <c r="B14" s="200">
        <v>212</v>
      </c>
      <c r="C14" s="201">
        <v>9.7</v>
      </c>
      <c r="D14" s="202">
        <f>C14/C22*100</f>
        <v>10.532030401737243</v>
      </c>
      <c r="E14" s="202">
        <f t="shared" si="1"/>
        <v>80.23887079261672</v>
      </c>
      <c r="F14" s="203">
        <f t="shared" si="0"/>
        <v>19.761129207383277</v>
      </c>
      <c r="G14" s="204"/>
    </row>
    <row r="15" spans="1:7" ht="12.75">
      <c r="A15" s="200">
        <v>100</v>
      </c>
      <c r="B15" s="200">
        <v>150</v>
      </c>
      <c r="C15" s="201">
        <v>6.6</v>
      </c>
      <c r="D15" s="202">
        <f>C15/C22*100</f>
        <v>7.166123778501629</v>
      </c>
      <c r="E15" s="202">
        <f t="shared" si="1"/>
        <v>87.40499457111835</v>
      </c>
      <c r="F15" s="203">
        <f t="shared" si="0"/>
        <v>12.595005428881649</v>
      </c>
      <c r="G15" s="204"/>
    </row>
    <row r="16" spans="1:7" ht="12.75">
      <c r="A16" s="200">
        <v>150</v>
      </c>
      <c r="B16" s="200">
        <v>106</v>
      </c>
      <c r="C16" s="201">
        <v>4.6</v>
      </c>
      <c r="D16" s="202">
        <f>C16/C22*100</f>
        <v>4.99457111834962</v>
      </c>
      <c r="E16" s="202">
        <f t="shared" si="1"/>
        <v>92.39956568946798</v>
      </c>
      <c r="F16" s="203">
        <f t="shared" si="0"/>
        <v>7.600434310532023</v>
      </c>
      <c r="G16" s="204"/>
    </row>
    <row r="17" spans="1:7" ht="12.75">
      <c r="A17" s="200">
        <v>200</v>
      </c>
      <c r="B17" s="200">
        <v>75</v>
      </c>
      <c r="C17" s="201">
        <v>3</v>
      </c>
      <c r="D17" s="202">
        <f>C17/C22*100</f>
        <v>3.257328990228013</v>
      </c>
      <c r="E17" s="202">
        <f t="shared" si="1"/>
        <v>95.656894679696</v>
      </c>
      <c r="F17" s="203">
        <f t="shared" si="0"/>
        <v>4.343105320304005</v>
      </c>
      <c r="G17" s="204"/>
    </row>
    <row r="18" spans="1:7" ht="12.75">
      <c r="A18" s="200">
        <v>270</v>
      </c>
      <c r="B18" s="200">
        <v>53</v>
      </c>
      <c r="C18" s="201">
        <v>1.9</v>
      </c>
      <c r="D18" s="202">
        <f>C18/C22*100</f>
        <v>2.0629750271444083</v>
      </c>
      <c r="E18" s="202">
        <f t="shared" si="1"/>
        <v>97.7198697068404</v>
      </c>
      <c r="F18" s="203">
        <f t="shared" si="0"/>
        <v>2.2801302931596013</v>
      </c>
      <c r="G18" s="204"/>
    </row>
    <row r="19" spans="1:7" ht="12.75">
      <c r="A19" s="200">
        <v>400</v>
      </c>
      <c r="B19" s="200">
        <v>38</v>
      </c>
      <c r="C19" s="201">
        <v>1</v>
      </c>
      <c r="D19" s="202">
        <f>C19/C22*100</f>
        <v>1.0857763300760044</v>
      </c>
      <c r="E19" s="202">
        <f t="shared" si="1"/>
        <v>98.8056460369164</v>
      </c>
      <c r="F19" s="203">
        <f t="shared" si="0"/>
        <v>1.1943539630836</v>
      </c>
      <c r="G19" s="204"/>
    </row>
    <row r="20" spans="1:7" ht="12.75">
      <c r="A20" s="200">
        <v>500</v>
      </c>
      <c r="B20" s="200">
        <v>25</v>
      </c>
      <c r="C20" s="201">
        <v>0.6</v>
      </c>
      <c r="D20" s="202">
        <f>C20/C22*100</f>
        <v>0.6514657980456027</v>
      </c>
      <c r="E20" s="202">
        <f t="shared" si="1"/>
        <v>99.457111834962</v>
      </c>
      <c r="F20" s="203">
        <f t="shared" si="0"/>
        <v>0.5428881650379935</v>
      </c>
      <c r="G20" s="204"/>
    </row>
    <row r="21" spans="1:7" ht="12.75">
      <c r="A21" s="200" t="s">
        <v>71</v>
      </c>
      <c r="B21" s="200">
        <f>-B20</f>
        <v>-25</v>
      </c>
      <c r="C21" s="182">
        <f>C22-SUM(C9:C20)</f>
        <v>0.5</v>
      </c>
      <c r="D21" s="202">
        <f>C21/C22*100</f>
        <v>0.5428881650380022</v>
      </c>
      <c r="E21" s="202">
        <f t="shared" si="1"/>
        <v>100.00000000000001</v>
      </c>
      <c r="F21" s="203">
        <f t="shared" si="0"/>
        <v>0</v>
      </c>
      <c r="G21" s="204"/>
    </row>
    <row r="22" spans="1:7" ht="12.75">
      <c r="A22" s="206" t="s">
        <v>36</v>
      </c>
      <c r="B22" s="206" t="s">
        <v>72</v>
      </c>
      <c r="C22" s="207">
        <v>92.1</v>
      </c>
      <c r="D22" s="202">
        <f>SUM(D9:D21)</f>
        <v>100.00000000000001</v>
      </c>
      <c r="E22" s="206" t="s">
        <v>72</v>
      </c>
      <c r="F22" s="208" t="s">
        <v>72</v>
      </c>
      <c r="G22" s="185"/>
    </row>
    <row r="23" spans="1:6" ht="12.75">
      <c r="A23" s="209" t="str">
        <f>"K"&amp;H7</f>
        <v>K80</v>
      </c>
      <c r="B23" s="210">
        <f>C103</f>
        <v>683.4187601747403</v>
      </c>
      <c r="C23" s="211"/>
      <c r="D23" s="212"/>
      <c r="E23" s="211"/>
      <c r="F23" s="213"/>
    </row>
    <row r="24" spans="1:6" ht="12.75">
      <c r="A24" s="214"/>
      <c r="B24" s="215"/>
      <c r="C24" s="216"/>
      <c r="D24" s="217"/>
      <c r="E24" s="216"/>
      <c r="F24" s="216"/>
    </row>
    <row r="25" spans="1:6" ht="12.75">
      <c r="A25" s="214"/>
      <c r="B25" s="215"/>
      <c r="C25" s="216"/>
      <c r="D25" s="217"/>
      <c r="E25" s="216"/>
      <c r="F25" s="216"/>
    </row>
    <row r="26" spans="1:6" ht="12.75">
      <c r="A26" s="214"/>
      <c r="B26" s="215"/>
      <c r="C26" s="216"/>
      <c r="D26" s="217"/>
      <c r="E26" s="216"/>
      <c r="F26" s="216"/>
    </row>
    <row r="27" ht="7.5" customHeight="1"/>
    <row r="31" spans="8:9" ht="12.75">
      <c r="H31" s="218" t="s">
        <v>73</v>
      </c>
      <c r="I31" s="219"/>
    </row>
    <row r="32" spans="8:9" ht="12.75">
      <c r="H32" s="220">
        <v>10</v>
      </c>
      <c r="I32" s="221">
        <f>H7</f>
        <v>80</v>
      </c>
    </row>
    <row r="33" spans="8:9" ht="12.75">
      <c r="H33" s="221">
        <f>B23</f>
        <v>683.4187601747403</v>
      </c>
      <c r="I33" s="220">
        <f>I32</f>
        <v>80</v>
      </c>
    </row>
    <row r="34" spans="8:9" ht="12.75">
      <c r="H34" s="221">
        <f>H33</f>
        <v>683.4187601747403</v>
      </c>
      <c r="I34" s="220">
        <v>0</v>
      </c>
    </row>
    <row r="35" spans="8:9" ht="12.75">
      <c r="H35"/>
      <c r="I35"/>
    </row>
    <row r="36" spans="8:9" ht="12.75">
      <c r="H36" s="222" t="str">
        <f>A23&amp;" = "&amp;ROUND(B23,0)&amp;" µm"</f>
        <v>K80 = 683 µm</v>
      </c>
      <c r="I36"/>
    </row>
    <row r="37" ht="12.75"/>
    <row r="38" ht="12.75"/>
    <row r="39" ht="12.75"/>
    <row r="40" ht="12.75"/>
    <row r="47" spans="2:3" ht="12.75">
      <c r="B47" s="223">
        <f>H7</f>
        <v>80</v>
      </c>
      <c r="C47" s="224" t="s">
        <v>74</v>
      </c>
    </row>
    <row r="48" spans="1:3" ht="12.75">
      <c r="A48" s="188">
        <v>34</v>
      </c>
      <c r="B48" s="225">
        <f>F$20</f>
        <v>0.5428881650379935</v>
      </c>
      <c r="C48" s="226">
        <f aca="true" t="shared" si="2" ref="C48:C73">10^C76</f>
        <v>354.37097998173186</v>
      </c>
    </row>
    <row r="49" spans="1:3" ht="12.75">
      <c r="A49" s="188">
        <f aca="true" t="shared" si="3" ref="A49:A73">A48-1</f>
        <v>33</v>
      </c>
      <c r="B49" s="225">
        <f>F$19</f>
        <v>1.1943539630836</v>
      </c>
      <c r="C49" s="226">
        <f t="shared" si="2"/>
        <v>330.5855282971734</v>
      </c>
    </row>
    <row r="50" spans="1:3" ht="12.75">
      <c r="A50" s="188">
        <f t="shared" si="3"/>
        <v>32</v>
      </c>
      <c r="B50" s="225">
        <f>F$18</f>
        <v>2.2801302931596013</v>
      </c>
      <c r="C50" s="226">
        <f t="shared" si="2"/>
        <v>360.43917586149956</v>
      </c>
    </row>
    <row r="51" spans="1:3" ht="12.75">
      <c r="A51" s="188">
        <f t="shared" si="3"/>
        <v>31</v>
      </c>
      <c r="B51" s="225">
        <f>F$17</f>
        <v>4.343105320304005</v>
      </c>
      <c r="C51" s="226">
        <f t="shared" si="2"/>
        <v>454.20864682725625</v>
      </c>
    </row>
    <row r="52" spans="1:3" ht="12.75">
      <c r="A52" s="188">
        <f t="shared" si="3"/>
        <v>30</v>
      </c>
      <c r="B52" s="225">
        <f>F$16</f>
        <v>7.600434310532023</v>
      </c>
      <c r="C52" s="226">
        <f t="shared" si="2"/>
        <v>534.551211933723</v>
      </c>
    </row>
    <row r="53" spans="1:3" ht="12.75">
      <c r="A53" s="188">
        <f t="shared" si="3"/>
        <v>29</v>
      </c>
      <c r="B53" s="225">
        <f>F$15</f>
        <v>12.595005428881649</v>
      </c>
      <c r="C53" s="226">
        <f t="shared" si="2"/>
        <v>620.5367225252725</v>
      </c>
    </row>
    <row r="54" spans="1:3" ht="12.75">
      <c r="A54" s="188">
        <f t="shared" si="3"/>
        <v>28</v>
      </c>
      <c r="B54" s="225">
        <f>F$14</f>
        <v>19.761129207383277</v>
      </c>
      <c r="C54" s="226">
        <f t="shared" si="2"/>
        <v>660.5113541292587</v>
      </c>
    </row>
    <row r="55" spans="1:3" ht="12.75">
      <c r="A55" s="188">
        <f t="shared" si="3"/>
        <v>27</v>
      </c>
      <c r="B55" s="225">
        <f>F$13</f>
        <v>30.293159609120522</v>
      </c>
      <c r="C55" s="226">
        <f t="shared" si="2"/>
        <v>635.0815897760529</v>
      </c>
    </row>
    <row r="56" spans="1:3" ht="12.75">
      <c r="A56" s="188">
        <f t="shared" si="3"/>
        <v>26</v>
      </c>
      <c r="B56" s="225">
        <f>F$12</f>
        <v>47.55700325732899</v>
      </c>
      <c r="C56" s="226">
        <f t="shared" si="2"/>
        <v>669.4290324000636</v>
      </c>
    </row>
    <row r="57" spans="1:3" ht="12.75">
      <c r="A57" s="188">
        <f t="shared" si="3"/>
        <v>25</v>
      </c>
      <c r="B57" s="225">
        <f>F$11</f>
        <v>70.57546145494028</v>
      </c>
      <c r="C57" s="226">
        <f t="shared" si="2"/>
        <v>683.4187601747403</v>
      </c>
    </row>
    <row r="58" spans="1:3" ht="12.75">
      <c r="A58" s="188">
        <f t="shared" si="3"/>
        <v>24</v>
      </c>
      <c r="B58" s="225">
        <f>F$10</f>
        <v>98.6970684039088</v>
      </c>
      <c r="C58" s="226">
        <f t="shared" si="2"/>
        <v>0.012840695164418272</v>
      </c>
    </row>
    <row r="59" spans="1:3" ht="12.75">
      <c r="A59" s="188">
        <f t="shared" si="3"/>
        <v>23</v>
      </c>
      <c r="B59" s="225">
        <f>F$9</f>
        <v>100</v>
      </c>
      <c r="C59" s="226" t="e">
        <f t="shared" si="2"/>
        <v>#REF!</v>
      </c>
    </row>
    <row r="60" spans="1:3" ht="12.75">
      <c r="A60" s="188">
        <f t="shared" si="3"/>
        <v>22</v>
      </c>
      <c r="B60" s="225" t="e">
        <f>#REF!</f>
        <v>#REF!</v>
      </c>
      <c r="C60" s="226" t="e">
        <f t="shared" si="2"/>
        <v>#REF!</v>
      </c>
    </row>
    <row r="61" spans="1:3" ht="12.75">
      <c r="A61" s="188">
        <f t="shared" si="3"/>
        <v>21</v>
      </c>
      <c r="B61" s="225" t="e">
        <f>#REF!</f>
        <v>#REF!</v>
      </c>
      <c r="C61" s="226" t="e">
        <f t="shared" si="2"/>
        <v>#REF!</v>
      </c>
    </row>
    <row r="62" spans="1:3" ht="12.75">
      <c r="A62" s="188">
        <f t="shared" si="3"/>
        <v>20</v>
      </c>
      <c r="B62" s="225" t="e">
        <f>#REF!</f>
        <v>#REF!</v>
      </c>
      <c r="C62" s="226" t="e">
        <f t="shared" si="2"/>
        <v>#REF!</v>
      </c>
    </row>
    <row r="63" spans="1:3" ht="12.75">
      <c r="A63" s="188">
        <f t="shared" si="3"/>
        <v>19</v>
      </c>
      <c r="B63" s="225" t="e">
        <f>#REF!</f>
        <v>#REF!</v>
      </c>
      <c r="C63" s="226" t="e">
        <f t="shared" si="2"/>
        <v>#REF!</v>
      </c>
    </row>
    <row r="64" spans="1:3" ht="12.75">
      <c r="A64" s="188">
        <f t="shared" si="3"/>
        <v>18</v>
      </c>
      <c r="B64" s="225" t="e">
        <f>#REF!</f>
        <v>#REF!</v>
      </c>
      <c r="C64" s="226" t="e">
        <f t="shared" si="2"/>
        <v>#REF!</v>
      </c>
    </row>
    <row r="65" spans="1:3" ht="12.75">
      <c r="A65" s="188">
        <f t="shared" si="3"/>
        <v>17</v>
      </c>
      <c r="B65" s="225" t="e">
        <f>#REF!</f>
        <v>#REF!</v>
      </c>
      <c r="C65" s="226" t="e">
        <f t="shared" si="2"/>
        <v>#REF!</v>
      </c>
    </row>
    <row r="66" spans="1:3" ht="12.75">
      <c r="A66" s="188">
        <f t="shared" si="3"/>
        <v>16</v>
      </c>
      <c r="B66" s="225" t="e">
        <f>#REF!</f>
        <v>#REF!</v>
      </c>
      <c r="C66" s="226" t="e">
        <f t="shared" si="2"/>
        <v>#REF!</v>
      </c>
    </row>
    <row r="67" spans="1:3" ht="12.75">
      <c r="A67" s="188">
        <f t="shared" si="3"/>
        <v>15</v>
      </c>
      <c r="B67" s="225" t="e">
        <f>#REF!</f>
        <v>#REF!</v>
      </c>
      <c r="C67" s="226" t="e">
        <f t="shared" si="2"/>
        <v>#REF!</v>
      </c>
    </row>
    <row r="68" spans="1:3" ht="12.75">
      <c r="A68" s="188">
        <f t="shared" si="3"/>
        <v>14</v>
      </c>
      <c r="B68" s="225" t="e">
        <f>#REF!</f>
        <v>#REF!</v>
      </c>
      <c r="C68" s="226" t="e">
        <f t="shared" si="2"/>
        <v>#REF!</v>
      </c>
    </row>
    <row r="69" spans="1:3" ht="12.75">
      <c r="A69" s="188">
        <f t="shared" si="3"/>
        <v>13</v>
      </c>
      <c r="B69" s="225" t="e">
        <f>#REF!</f>
        <v>#REF!</v>
      </c>
      <c r="C69" s="226" t="e">
        <f t="shared" si="2"/>
        <v>#REF!</v>
      </c>
    </row>
    <row r="70" spans="1:3" ht="12.75">
      <c r="A70" s="188">
        <f t="shared" si="3"/>
        <v>12</v>
      </c>
      <c r="B70" s="225" t="e">
        <f>#REF!</f>
        <v>#REF!</v>
      </c>
      <c r="C70" s="226" t="e">
        <f t="shared" si="2"/>
        <v>#REF!</v>
      </c>
    </row>
    <row r="71" spans="1:3" ht="12.75">
      <c r="A71" s="188">
        <f t="shared" si="3"/>
        <v>11</v>
      </c>
      <c r="B71" s="225" t="e">
        <f>#REF!</f>
        <v>#REF!</v>
      </c>
      <c r="C71" s="226" t="e">
        <f t="shared" si="2"/>
        <v>#REF!</v>
      </c>
    </row>
    <row r="72" spans="1:3" ht="12.75">
      <c r="A72" s="188">
        <f t="shared" si="3"/>
        <v>10</v>
      </c>
      <c r="B72" s="225" t="e">
        <f>#REF!</f>
        <v>#REF!</v>
      </c>
      <c r="C72" s="226" t="e">
        <f t="shared" si="2"/>
        <v>#REF!</v>
      </c>
    </row>
    <row r="73" spans="1:15" ht="12.75">
      <c r="A73" s="188">
        <f t="shared" si="3"/>
        <v>9</v>
      </c>
      <c r="B73" s="225" t="e">
        <f>#REF!</f>
        <v>#REF!</v>
      </c>
      <c r="C73" s="226" t="e">
        <f t="shared" si="2"/>
        <v>#REF!</v>
      </c>
      <c r="O73" s="188">
        <v>10.3</v>
      </c>
    </row>
    <row r="74" spans="2:15" ht="12.75">
      <c r="B74" s="225"/>
      <c r="C74" s="224"/>
      <c r="O74" s="188">
        <v>13.5</v>
      </c>
    </row>
    <row r="75" spans="2:15" ht="12.75">
      <c r="B75" s="223"/>
      <c r="C75" s="224"/>
      <c r="O75" s="188">
        <v>62.8</v>
      </c>
    </row>
    <row r="76" spans="1:15" ht="12.75">
      <c r="A76" s="227">
        <f aca="true" t="shared" si="4" ref="A76:A100">A77+1</f>
        <v>34</v>
      </c>
      <c r="B76" s="228">
        <f>B20</f>
        <v>25</v>
      </c>
      <c r="C76" s="226">
        <f aca="true" t="shared" si="5" ref="C76:C101">(LOG(B$47)-LOG(B48))/(LOG(B49)-LOG(B48))*(LOG(B77)-LOG(B76))+LOG(B76)</f>
        <v>2.5494581495868127</v>
      </c>
      <c r="O76" s="188">
        <v>52.6</v>
      </c>
    </row>
    <row r="77" spans="1:15" ht="12.75">
      <c r="A77" s="227">
        <f t="shared" si="4"/>
        <v>33</v>
      </c>
      <c r="B77" s="228">
        <f>B19</f>
        <v>38</v>
      </c>
      <c r="C77" s="226">
        <f t="shared" si="5"/>
        <v>2.5192838379884686</v>
      </c>
      <c r="O77" s="188">
        <v>40.9</v>
      </c>
    </row>
    <row r="78" spans="1:15" ht="12.75">
      <c r="A78" s="227">
        <f t="shared" si="4"/>
        <v>32</v>
      </c>
      <c r="B78" s="228">
        <f>B18</f>
        <v>53</v>
      </c>
      <c r="C78" s="226">
        <f t="shared" si="5"/>
        <v>2.5568319880113197</v>
      </c>
      <c r="O78" s="188">
        <v>27.3</v>
      </c>
    </row>
    <row r="79" spans="1:15" ht="12.75">
      <c r="A79" s="227">
        <f t="shared" si="4"/>
        <v>31</v>
      </c>
      <c r="B79" s="228">
        <f>B17</f>
        <v>75</v>
      </c>
      <c r="C79" s="226">
        <f t="shared" si="5"/>
        <v>2.657255397681203</v>
      </c>
      <c r="O79" s="188">
        <v>20.3</v>
      </c>
    </row>
    <row r="80" spans="1:15" ht="12.75">
      <c r="A80" s="227">
        <f t="shared" si="4"/>
        <v>30</v>
      </c>
      <c r="B80" s="228">
        <f>B16</f>
        <v>106</v>
      </c>
      <c r="C80" s="226">
        <f t="shared" si="5"/>
        <v>2.7279893185154283</v>
      </c>
      <c r="O80" s="188">
        <v>12.7</v>
      </c>
    </row>
    <row r="81" spans="1:15" ht="12.75">
      <c r="A81" s="227">
        <f t="shared" si="4"/>
        <v>29</v>
      </c>
      <c r="B81" s="228">
        <f>B15</f>
        <v>150</v>
      </c>
      <c r="C81" s="226">
        <f t="shared" si="5"/>
        <v>2.7927674875562247</v>
      </c>
      <c r="O81" s="188">
        <v>38.9</v>
      </c>
    </row>
    <row r="82" spans="1:3" ht="12.75">
      <c r="A82" s="227">
        <f t="shared" si="4"/>
        <v>28</v>
      </c>
      <c r="B82" s="228">
        <f>B14</f>
        <v>212</v>
      </c>
      <c r="C82" s="226">
        <f t="shared" si="5"/>
        <v>2.819880287496801</v>
      </c>
    </row>
    <row r="83" spans="1:3" ht="12.75">
      <c r="A83" s="227">
        <f t="shared" si="4"/>
        <v>27</v>
      </c>
      <c r="B83" s="228">
        <f>B13</f>
        <v>300</v>
      </c>
      <c r="C83" s="226">
        <f t="shared" si="5"/>
        <v>2.80282952326567</v>
      </c>
    </row>
    <row r="84" spans="1:3" ht="12.75">
      <c r="A84" s="227">
        <f t="shared" si="4"/>
        <v>26</v>
      </c>
      <c r="B84" s="228">
        <f>B12</f>
        <v>425</v>
      </c>
      <c r="C84" s="226">
        <f t="shared" si="5"/>
        <v>2.8257045433036962</v>
      </c>
    </row>
    <row r="85" spans="1:3" ht="12.75">
      <c r="A85" s="227">
        <f t="shared" si="4"/>
        <v>25</v>
      </c>
      <c r="B85" s="228">
        <f>B11</f>
        <v>600</v>
      </c>
      <c r="C85" s="226">
        <f t="shared" si="5"/>
        <v>2.834686896219464</v>
      </c>
    </row>
    <row r="86" spans="1:3" ht="12.75">
      <c r="A86" s="227">
        <f t="shared" si="4"/>
        <v>24</v>
      </c>
      <c r="B86" s="228">
        <f>B10</f>
        <v>850</v>
      </c>
      <c r="C86" s="226">
        <f t="shared" si="5"/>
        <v>-1.8914114639697752</v>
      </c>
    </row>
    <row r="87" spans="1:3" ht="12.75">
      <c r="A87" s="227">
        <f t="shared" si="4"/>
        <v>23</v>
      </c>
      <c r="B87" s="228">
        <f>B9</f>
        <v>1700</v>
      </c>
      <c r="C87" s="226" t="e">
        <f t="shared" si="5"/>
        <v>#REF!</v>
      </c>
    </row>
    <row r="88" spans="1:3" ht="12.75">
      <c r="A88" s="227">
        <f t="shared" si="4"/>
        <v>22</v>
      </c>
      <c r="B88" s="228" t="e">
        <f>#REF!</f>
        <v>#REF!</v>
      </c>
      <c r="C88" s="226" t="e">
        <f t="shared" si="5"/>
        <v>#REF!</v>
      </c>
    </row>
    <row r="89" spans="1:3" ht="12.75">
      <c r="A89" s="227">
        <f t="shared" si="4"/>
        <v>21</v>
      </c>
      <c r="B89" s="228" t="e">
        <f>#REF!</f>
        <v>#REF!</v>
      </c>
      <c r="C89" s="226" t="e">
        <f t="shared" si="5"/>
        <v>#REF!</v>
      </c>
    </row>
    <row r="90" spans="1:3" ht="12.75">
      <c r="A90" s="227">
        <f t="shared" si="4"/>
        <v>20</v>
      </c>
      <c r="B90" s="228" t="e">
        <f>#REF!</f>
        <v>#REF!</v>
      </c>
      <c r="C90" s="226" t="e">
        <f t="shared" si="5"/>
        <v>#REF!</v>
      </c>
    </row>
    <row r="91" spans="1:3" ht="12.75">
      <c r="A91" s="227">
        <f t="shared" si="4"/>
        <v>19</v>
      </c>
      <c r="B91" s="228" t="e">
        <f>#REF!</f>
        <v>#REF!</v>
      </c>
      <c r="C91" s="226" t="e">
        <f t="shared" si="5"/>
        <v>#REF!</v>
      </c>
    </row>
    <row r="92" spans="1:3" ht="12.75">
      <c r="A92" s="227">
        <f t="shared" si="4"/>
        <v>18</v>
      </c>
      <c r="B92" s="228" t="e">
        <f>#REF!</f>
        <v>#REF!</v>
      </c>
      <c r="C92" s="226" t="e">
        <f t="shared" si="5"/>
        <v>#REF!</v>
      </c>
    </row>
    <row r="93" spans="1:3" ht="12.75">
      <c r="A93" s="227">
        <f t="shared" si="4"/>
        <v>17</v>
      </c>
      <c r="B93" s="228" t="e">
        <f>#REF!</f>
        <v>#REF!</v>
      </c>
      <c r="C93" s="226" t="e">
        <f t="shared" si="5"/>
        <v>#REF!</v>
      </c>
    </row>
    <row r="94" spans="1:3" ht="12.75">
      <c r="A94" s="227">
        <f t="shared" si="4"/>
        <v>16</v>
      </c>
      <c r="B94" s="228" t="e">
        <f>#REF!</f>
        <v>#REF!</v>
      </c>
      <c r="C94" s="226" t="e">
        <f t="shared" si="5"/>
        <v>#REF!</v>
      </c>
    </row>
    <row r="95" spans="1:3" ht="12.75">
      <c r="A95" s="227">
        <f t="shared" si="4"/>
        <v>15</v>
      </c>
      <c r="B95" s="228" t="e">
        <f>#REF!</f>
        <v>#REF!</v>
      </c>
      <c r="C95" s="226" t="e">
        <f t="shared" si="5"/>
        <v>#REF!</v>
      </c>
    </row>
    <row r="96" spans="1:3" ht="12.75">
      <c r="A96" s="227">
        <f t="shared" si="4"/>
        <v>14</v>
      </c>
      <c r="B96" s="228" t="e">
        <f>#REF!</f>
        <v>#REF!</v>
      </c>
      <c r="C96" s="226" t="e">
        <f t="shared" si="5"/>
        <v>#REF!</v>
      </c>
    </row>
    <row r="97" spans="1:3" ht="12.75">
      <c r="A97" s="227">
        <f t="shared" si="4"/>
        <v>13</v>
      </c>
      <c r="B97" s="228" t="e">
        <f>#REF!</f>
        <v>#REF!</v>
      </c>
      <c r="C97" s="226" t="e">
        <f t="shared" si="5"/>
        <v>#REF!</v>
      </c>
    </row>
    <row r="98" spans="1:3" ht="12.75">
      <c r="A98" s="227">
        <f t="shared" si="4"/>
        <v>12</v>
      </c>
      <c r="B98" s="228" t="e">
        <f>#REF!</f>
        <v>#REF!</v>
      </c>
      <c r="C98" s="226" t="e">
        <f t="shared" si="5"/>
        <v>#REF!</v>
      </c>
    </row>
    <row r="99" spans="1:3" ht="12.75">
      <c r="A99" s="227">
        <f t="shared" si="4"/>
        <v>11</v>
      </c>
      <c r="B99" s="228" t="e">
        <f>#REF!</f>
        <v>#REF!</v>
      </c>
      <c r="C99" s="226" t="e">
        <f t="shared" si="5"/>
        <v>#REF!</v>
      </c>
    </row>
    <row r="100" spans="1:3" ht="12.75">
      <c r="A100" s="227">
        <f t="shared" si="4"/>
        <v>10</v>
      </c>
      <c r="B100" s="228" t="e">
        <f>#REF!</f>
        <v>#REF!</v>
      </c>
      <c r="C100" s="226" t="e">
        <f t="shared" si="5"/>
        <v>#REF!</v>
      </c>
    </row>
    <row r="101" spans="1:3" ht="12.75">
      <c r="A101" s="227">
        <v>9</v>
      </c>
      <c r="B101" s="228" t="e">
        <f>#REF!</f>
        <v>#REF!</v>
      </c>
      <c r="C101" s="226" t="e">
        <f t="shared" si="5"/>
        <v>#REF!</v>
      </c>
    </row>
    <row r="102" spans="2:3" ht="12.75">
      <c r="B102" s="224"/>
      <c r="C102" s="224"/>
    </row>
    <row r="103" spans="2:3" ht="12.75">
      <c r="B103" s="224"/>
      <c r="C103" s="229">
        <f>VLOOKUP($B47,B48:C73,2)</f>
        <v>683.4187601747403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showGridLines="0" zoomScalePageLayoutView="0" workbookViewId="0" topLeftCell="A1">
      <selection activeCell="E23" sqref="E23"/>
    </sheetView>
  </sheetViews>
  <sheetFormatPr defaultColWidth="10.7109375" defaultRowHeight="12.75"/>
  <cols>
    <col min="1" max="6" width="11.7109375" style="188" customWidth="1"/>
    <col min="7" max="16384" width="10.7109375" style="188" customWidth="1"/>
  </cols>
  <sheetData>
    <row r="1" spans="1:6" s="1" customFormat="1" ht="12.75">
      <c r="A1" s="184"/>
      <c r="B1" s="185"/>
      <c r="C1" s="186" t="s">
        <v>59</v>
      </c>
      <c r="D1" s="187"/>
      <c r="E1" s="185"/>
      <c r="F1" s="188" t="s">
        <v>60</v>
      </c>
    </row>
    <row r="2" spans="1:6" s="1" customFormat="1" ht="12.75">
      <c r="A2" s="181" t="str">
        <f>'E-GRG-1'!H2</f>
        <v>Fraser</v>
      </c>
      <c r="B2" s="185"/>
      <c r="C2" s="186" t="s">
        <v>61</v>
      </c>
      <c r="D2" s="187"/>
      <c r="E2" s="185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104</v>
      </c>
      <c r="C4" s="2"/>
      <c r="D4" s="2" t="s">
        <v>63</v>
      </c>
      <c r="E4" s="3" t="s">
        <v>109</v>
      </c>
      <c r="F4" s="4" t="s">
        <v>95</v>
      </c>
    </row>
    <row r="5" spans="1:6" ht="9" customHeight="1" thickBot="1">
      <c r="A5" s="185"/>
      <c r="B5" s="185"/>
      <c r="C5" s="185"/>
      <c r="D5" s="185"/>
      <c r="E5" s="185"/>
      <c r="F5" s="185"/>
    </row>
    <row r="6" spans="1:8" ht="12.75">
      <c r="A6" s="190" t="s">
        <v>24</v>
      </c>
      <c r="B6" s="191"/>
      <c r="C6" s="192" t="s">
        <v>64</v>
      </c>
      <c r="D6" s="190" t="s">
        <v>65</v>
      </c>
      <c r="E6" s="191"/>
      <c r="F6" s="193" t="s">
        <v>66</v>
      </c>
      <c r="G6" s="185"/>
      <c r="H6" s="194" t="s">
        <v>67</v>
      </c>
    </row>
    <row r="7" spans="1:8" ht="13.5" thickBot="1">
      <c r="A7" s="195" t="s">
        <v>30</v>
      </c>
      <c r="B7" s="195" t="s">
        <v>68</v>
      </c>
      <c r="C7" s="195" t="s">
        <v>12</v>
      </c>
      <c r="D7" s="195" t="s">
        <v>69</v>
      </c>
      <c r="E7" s="195" t="s">
        <v>70</v>
      </c>
      <c r="F7" s="196" t="s">
        <v>70</v>
      </c>
      <c r="G7" s="185"/>
      <c r="H7" s="197">
        <v>80</v>
      </c>
    </row>
    <row r="8" spans="1:7" ht="7.5" customHeight="1">
      <c r="A8" s="198"/>
      <c r="B8" s="198"/>
      <c r="C8" s="198"/>
      <c r="D8" s="198"/>
      <c r="E8" s="198"/>
      <c r="F8" s="199"/>
      <c r="G8" s="185"/>
    </row>
    <row r="9" spans="1:9" ht="12.75">
      <c r="A9" s="200">
        <v>10</v>
      </c>
      <c r="B9" s="200">
        <v>1700</v>
      </c>
      <c r="C9" s="201">
        <v>0</v>
      </c>
      <c r="D9" s="202">
        <f>C9/C22*100</f>
        <v>0</v>
      </c>
      <c r="E9" s="202">
        <f>D9</f>
        <v>0</v>
      </c>
      <c r="F9" s="203">
        <f aca="true" t="shared" si="0" ref="F9:F21">100-E9</f>
        <v>100</v>
      </c>
      <c r="G9" s="204"/>
      <c r="H9" s="205"/>
      <c r="I9" s="205"/>
    </row>
    <row r="10" spans="1:7" ht="12.75">
      <c r="A10" s="200">
        <v>20</v>
      </c>
      <c r="B10" s="200">
        <v>850</v>
      </c>
      <c r="C10" s="201">
        <v>4.5</v>
      </c>
      <c r="D10" s="202">
        <f>C10/C22*100</f>
        <v>1.3761467889908259</v>
      </c>
      <c r="E10" s="202">
        <f aca="true" t="shared" si="1" ref="E10:E21">E9+D10</f>
        <v>1.3761467889908259</v>
      </c>
      <c r="F10" s="203">
        <f t="shared" si="0"/>
        <v>98.62385321100918</v>
      </c>
      <c r="G10" s="204"/>
    </row>
    <row r="11" spans="1:7" ht="12.75">
      <c r="A11" s="200">
        <v>28</v>
      </c>
      <c r="B11" s="200">
        <v>600</v>
      </c>
      <c r="C11" s="201">
        <v>77.2</v>
      </c>
      <c r="D11" s="202">
        <f>C11/C22*100</f>
        <v>23.6085626911315</v>
      </c>
      <c r="E11" s="202">
        <f t="shared" si="1"/>
        <v>24.984709480122326</v>
      </c>
      <c r="F11" s="203">
        <f t="shared" si="0"/>
        <v>75.01529051987768</v>
      </c>
      <c r="G11" s="204"/>
    </row>
    <row r="12" spans="1:7" ht="12.75">
      <c r="A12" s="200">
        <v>35</v>
      </c>
      <c r="B12" s="200">
        <v>425</v>
      </c>
      <c r="C12" s="201">
        <v>69.9</v>
      </c>
      <c r="D12" s="202">
        <f>C12/C22*100</f>
        <v>21.376146788990827</v>
      </c>
      <c r="E12" s="202">
        <f t="shared" si="1"/>
        <v>46.36085626911316</v>
      </c>
      <c r="F12" s="203">
        <f t="shared" si="0"/>
        <v>53.63914373088684</v>
      </c>
      <c r="G12" s="204"/>
    </row>
    <row r="13" spans="1:7" ht="12.75">
      <c r="A13" s="200">
        <v>48</v>
      </c>
      <c r="B13" s="200">
        <v>300</v>
      </c>
      <c r="C13" s="201">
        <v>48.9</v>
      </c>
      <c r="D13" s="202">
        <f>C13/C22*100</f>
        <v>14.954128440366974</v>
      </c>
      <c r="E13" s="202">
        <f t="shared" si="1"/>
        <v>61.31498470948013</v>
      </c>
      <c r="F13" s="203">
        <f t="shared" si="0"/>
        <v>38.68501529051987</v>
      </c>
      <c r="G13" s="204"/>
    </row>
    <row r="14" spans="1:7" ht="12.75">
      <c r="A14" s="200">
        <v>65</v>
      </c>
      <c r="B14" s="200">
        <v>212</v>
      </c>
      <c r="C14" s="201">
        <v>35.6</v>
      </c>
      <c r="D14" s="202">
        <f>C14/C22*100</f>
        <v>10.886850152905199</v>
      </c>
      <c r="E14" s="202">
        <f t="shared" si="1"/>
        <v>72.20183486238533</v>
      </c>
      <c r="F14" s="203">
        <f t="shared" si="0"/>
        <v>27.798165137614674</v>
      </c>
      <c r="G14" s="204"/>
    </row>
    <row r="15" spans="1:7" ht="12.75">
      <c r="A15" s="200">
        <v>100</v>
      </c>
      <c r="B15" s="200">
        <v>150</v>
      </c>
      <c r="C15" s="201">
        <v>26.4</v>
      </c>
      <c r="D15" s="202">
        <f>C15/C22*100</f>
        <v>8.073394495412844</v>
      </c>
      <c r="E15" s="202">
        <f t="shared" si="1"/>
        <v>80.27522935779817</v>
      </c>
      <c r="F15" s="203">
        <f t="shared" si="0"/>
        <v>19.724770642201833</v>
      </c>
      <c r="G15" s="204"/>
    </row>
    <row r="16" spans="1:7" ht="12.75">
      <c r="A16" s="200">
        <v>150</v>
      </c>
      <c r="B16" s="200">
        <v>106</v>
      </c>
      <c r="C16" s="201">
        <v>18.5</v>
      </c>
      <c r="D16" s="202">
        <f>C16/C22*100</f>
        <v>5.657492354740061</v>
      </c>
      <c r="E16" s="202">
        <f t="shared" si="1"/>
        <v>85.93272171253822</v>
      </c>
      <c r="F16" s="203">
        <f t="shared" si="0"/>
        <v>14.067278287461775</v>
      </c>
      <c r="G16" s="204"/>
    </row>
    <row r="17" spans="1:7" ht="12.75">
      <c r="A17" s="200">
        <v>200</v>
      </c>
      <c r="B17" s="200">
        <v>75</v>
      </c>
      <c r="C17" s="201">
        <v>14.4</v>
      </c>
      <c r="D17" s="202">
        <f>C17/C22*100</f>
        <v>4.4036697247706424</v>
      </c>
      <c r="E17" s="202">
        <f t="shared" si="1"/>
        <v>90.33639143730886</v>
      </c>
      <c r="F17" s="203">
        <f t="shared" si="0"/>
        <v>9.663608562691138</v>
      </c>
      <c r="G17" s="204"/>
    </row>
    <row r="18" spans="1:7" ht="12.75">
      <c r="A18" s="200">
        <v>270</v>
      </c>
      <c r="B18" s="200">
        <v>53</v>
      </c>
      <c r="C18" s="201">
        <v>8.5</v>
      </c>
      <c r="D18" s="202">
        <f>C18/C22*100</f>
        <v>2.599388379204893</v>
      </c>
      <c r="E18" s="202">
        <f t="shared" si="1"/>
        <v>92.93577981651376</v>
      </c>
      <c r="F18" s="203">
        <f t="shared" si="0"/>
        <v>7.064220183486242</v>
      </c>
      <c r="G18" s="204"/>
    </row>
    <row r="19" spans="1:7" ht="12.75">
      <c r="A19" s="200">
        <v>400</v>
      </c>
      <c r="B19" s="200">
        <v>38</v>
      </c>
      <c r="C19" s="201">
        <v>6.4</v>
      </c>
      <c r="D19" s="202">
        <f>C19/C22*100</f>
        <v>1.9571865443425078</v>
      </c>
      <c r="E19" s="202">
        <f t="shared" si="1"/>
        <v>94.89296636085626</v>
      </c>
      <c r="F19" s="203">
        <f t="shared" si="0"/>
        <v>5.1070336391437365</v>
      </c>
      <c r="G19" s="204"/>
    </row>
    <row r="20" spans="1:7" ht="12.75">
      <c r="A20" s="200">
        <v>500</v>
      </c>
      <c r="B20" s="200">
        <v>25</v>
      </c>
      <c r="C20" s="201">
        <v>3.1</v>
      </c>
      <c r="D20" s="202">
        <f>C20/C22*100</f>
        <v>0.9480122324159022</v>
      </c>
      <c r="E20" s="202">
        <f t="shared" si="1"/>
        <v>95.84097859327217</v>
      </c>
      <c r="F20" s="203">
        <f t="shared" si="0"/>
        <v>4.159021406727831</v>
      </c>
      <c r="G20" s="204"/>
    </row>
    <row r="21" spans="1:7" ht="12.75">
      <c r="A21" s="200" t="s">
        <v>71</v>
      </c>
      <c r="B21" s="200">
        <f>-B20</f>
        <v>-25</v>
      </c>
      <c r="C21" s="182">
        <f>C22-SUM(C9:C20)</f>
        <v>13.600000000000023</v>
      </c>
      <c r="D21" s="202">
        <f>C21/C22*100</f>
        <v>4.1590214067278355</v>
      </c>
      <c r="E21" s="202">
        <f t="shared" si="1"/>
        <v>100</v>
      </c>
      <c r="F21" s="203">
        <f t="shared" si="0"/>
        <v>0</v>
      </c>
      <c r="G21" s="204"/>
    </row>
    <row r="22" spans="1:7" ht="12.75">
      <c r="A22" s="206" t="s">
        <v>36</v>
      </c>
      <c r="B22" s="206" t="s">
        <v>72</v>
      </c>
      <c r="C22" s="207">
        <v>327</v>
      </c>
      <c r="D22" s="202">
        <f>SUM(D9:D21)</f>
        <v>100</v>
      </c>
      <c r="E22" s="206" t="s">
        <v>72</v>
      </c>
      <c r="F22" s="208" t="s">
        <v>72</v>
      </c>
      <c r="G22" s="185"/>
    </row>
    <row r="23" spans="1:6" ht="12.75">
      <c r="A23" s="209" t="str">
        <f>"K"&amp;H7</f>
        <v>K80</v>
      </c>
      <c r="B23" s="210">
        <f>C103</f>
        <v>651.2050788917564</v>
      </c>
      <c r="C23" s="211"/>
      <c r="D23" s="212"/>
      <c r="E23" s="211"/>
      <c r="F23" s="213"/>
    </row>
    <row r="24" spans="1:6" ht="12.75">
      <c r="A24" s="214"/>
      <c r="B24" s="215"/>
      <c r="C24" s="216"/>
      <c r="D24" s="217"/>
      <c r="E24" s="216"/>
      <c r="F24" s="216"/>
    </row>
    <row r="25" spans="1:6" ht="12.75">
      <c r="A25" s="214"/>
      <c r="B25" s="215"/>
      <c r="C25" s="216"/>
      <c r="D25" s="217"/>
      <c r="E25" s="216"/>
      <c r="F25" s="216"/>
    </row>
    <row r="26" spans="1:6" ht="12.75">
      <c r="A26" s="214"/>
      <c r="B26" s="215"/>
      <c r="C26" s="216"/>
      <c r="D26" s="217"/>
      <c r="E26" s="216"/>
      <c r="F26" s="216"/>
    </row>
    <row r="27" ht="7.5" customHeight="1"/>
    <row r="31" spans="8:9" ht="12.75">
      <c r="H31" s="218" t="s">
        <v>73</v>
      </c>
      <c r="I31" s="219"/>
    </row>
    <row r="32" spans="8:9" ht="12.75">
      <c r="H32" s="220">
        <v>10</v>
      </c>
      <c r="I32" s="221">
        <f>H7</f>
        <v>80</v>
      </c>
    </row>
    <row r="33" spans="8:9" ht="12.75">
      <c r="H33" s="221">
        <f>B23</f>
        <v>651.2050788917564</v>
      </c>
      <c r="I33" s="220">
        <f>I32</f>
        <v>80</v>
      </c>
    </row>
    <row r="34" spans="8:9" ht="12.75">
      <c r="H34" s="221">
        <f>H33</f>
        <v>651.2050788917564</v>
      </c>
      <c r="I34" s="220">
        <v>0</v>
      </c>
    </row>
    <row r="35" spans="8:9" ht="12.75">
      <c r="H35"/>
      <c r="I35"/>
    </row>
    <row r="36" spans="8:9" ht="12.75">
      <c r="H36" s="222" t="str">
        <f>A23&amp;" = "&amp;ROUND(B23,0)&amp;" µm"</f>
        <v>K80 = 651 µm</v>
      </c>
      <c r="I36"/>
    </row>
    <row r="37" ht="12.75"/>
    <row r="38" ht="12.75"/>
    <row r="39" ht="12.75"/>
    <row r="40" ht="12.75"/>
    <row r="47" spans="2:3" ht="12.75">
      <c r="B47" s="223">
        <f>H7</f>
        <v>80</v>
      </c>
      <c r="C47" s="224" t="s">
        <v>74</v>
      </c>
    </row>
    <row r="48" spans="1:3" ht="12.75">
      <c r="A48" s="188">
        <v>34</v>
      </c>
      <c r="B48" s="225">
        <f>F$20</f>
        <v>4.159021406727831</v>
      </c>
      <c r="C48" s="226">
        <f>10^C76</f>
        <v>10384.109472677366</v>
      </c>
    </row>
    <row r="49" spans="1:3" ht="12.75">
      <c r="A49" s="188">
        <f>A48-1</f>
        <v>33</v>
      </c>
      <c r="B49" s="225">
        <f>F$19</f>
        <v>5.1070336391437365</v>
      </c>
      <c r="C49" s="226">
        <f aca="true" t="shared" si="2" ref="C49:C73">10^C77</f>
        <v>638.5702432247543</v>
      </c>
    </row>
    <row r="50" spans="1:3" ht="12.75">
      <c r="A50" s="188">
        <f aca="true" t="shared" si="3" ref="A50:A73">A49-1</f>
        <v>32</v>
      </c>
      <c r="B50" s="225">
        <f>F$18</f>
        <v>7.064220183486242</v>
      </c>
      <c r="C50" s="226">
        <f t="shared" si="2"/>
        <v>780.2724054013229</v>
      </c>
    </row>
    <row r="51" spans="1:3" ht="12.75">
      <c r="A51" s="188">
        <f t="shared" si="3"/>
        <v>31</v>
      </c>
      <c r="B51" s="225">
        <f>F$17</f>
        <v>9.663608562691138</v>
      </c>
      <c r="C51" s="226">
        <f t="shared" si="2"/>
        <v>525.7890523457138</v>
      </c>
    </row>
    <row r="52" spans="1:3" ht="12.75">
      <c r="A52" s="188">
        <f t="shared" si="3"/>
        <v>30</v>
      </c>
      <c r="B52" s="225">
        <f>F$16</f>
        <v>14.067278287461775</v>
      </c>
      <c r="C52" s="226">
        <f t="shared" si="2"/>
        <v>631.9309906254377</v>
      </c>
    </row>
    <row r="53" spans="1:3" ht="12.75">
      <c r="A53" s="188">
        <f t="shared" si="3"/>
        <v>29</v>
      </c>
      <c r="B53" s="225">
        <f>F$15</f>
        <v>19.724770642201833</v>
      </c>
      <c r="C53" s="226">
        <f t="shared" si="2"/>
        <v>615.5047740756697</v>
      </c>
    </row>
    <row r="54" spans="1:3" ht="12.75">
      <c r="A54" s="188">
        <f t="shared" si="3"/>
        <v>28</v>
      </c>
      <c r="B54" s="225">
        <f>F$14</f>
        <v>27.798165137614674</v>
      </c>
      <c r="C54" s="226">
        <f t="shared" si="2"/>
        <v>643.6162947645821</v>
      </c>
    </row>
    <row r="55" spans="1:3" ht="12.75">
      <c r="A55" s="188">
        <f t="shared" si="3"/>
        <v>27</v>
      </c>
      <c r="B55" s="225">
        <f>F$13</f>
        <v>38.68501529051987</v>
      </c>
      <c r="C55" s="226">
        <f t="shared" si="2"/>
        <v>650.7393495955372</v>
      </c>
    </row>
    <row r="56" spans="1:3" ht="12.75">
      <c r="A56" s="188">
        <f t="shared" si="3"/>
        <v>26</v>
      </c>
      <c r="B56" s="225">
        <f>F$12</f>
        <v>53.63914373088684</v>
      </c>
      <c r="C56" s="226">
        <f t="shared" si="2"/>
        <v>641.0276615799161</v>
      </c>
    </row>
    <row r="57" spans="1:3" ht="12.75">
      <c r="A57" s="188">
        <f t="shared" si="3"/>
        <v>25</v>
      </c>
      <c r="B57" s="225">
        <f>F$11</f>
        <v>75.01529051987768</v>
      </c>
      <c r="C57" s="226">
        <f t="shared" si="2"/>
        <v>651.2050788917564</v>
      </c>
    </row>
    <row r="58" spans="1:3" ht="12.75">
      <c r="A58" s="188">
        <f t="shared" si="3"/>
        <v>24</v>
      </c>
      <c r="B58" s="225">
        <f>F$10</f>
        <v>98.62385321100918</v>
      </c>
      <c r="C58" s="226">
        <f t="shared" si="2"/>
        <v>0.024148048588518444</v>
      </c>
    </row>
    <row r="59" spans="1:3" ht="12.75">
      <c r="A59" s="188">
        <f t="shared" si="3"/>
        <v>23</v>
      </c>
      <c r="B59" s="225">
        <f>F$9</f>
        <v>100</v>
      </c>
      <c r="C59" s="226" t="e">
        <f>10^C87</f>
        <v>#REF!</v>
      </c>
    </row>
    <row r="60" spans="1:3" ht="12.75">
      <c r="A60" s="188">
        <f t="shared" si="3"/>
        <v>22</v>
      </c>
      <c r="B60" s="225" t="e">
        <f>#REF!</f>
        <v>#REF!</v>
      </c>
      <c r="C60" s="226" t="e">
        <f t="shared" si="2"/>
        <v>#REF!</v>
      </c>
    </row>
    <row r="61" spans="1:3" ht="12.75">
      <c r="A61" s="188">
        <f t="shared" si="3"/>
        <v>21</v>
      </c>
      <c r="B61" s="225" t="e">
        <f>#REF!</f>
        <v>#REF!</v>
      </c>
      <c r="C61" s="226" t="e">
        <f t="shared" si="2"/>
        <v>#REF!</v>
      </c>
    </row>
    <row r="62" spans="1:3" ht="12.75">
      <c r="A62" s="188">
        <f t="shared" si="3"/>
        <v>20</v>
      </c>
      <c r="B62" s="225" t="e">
        <f>#REF!</f>
        <v>#REF!</v>
      </c>
      <c r="C62" s="226" t="e">
        <f t="shared" si="2"/>
        <v>#REF!</v>
      </c>
    </row>
    <row r="63" spans="1:3" ht="12.75">
      <c r="A63" s="188">
        <f t="shared" si="3"/>
        <v>19</v>
      </c>
      <c r="B63" s="225" t="e">
        <f>#REF!</f>
        <v>#REF!</v>
      </c>
      <c r="C63" s="226" t="e">
        <f t="shared" si="2"/>
        <v>#REF!</v>
      </c>
    </row>
    <row r="64" spans="1:3" ht="12.75">
      <c r="A64" s="188">
        <f t="shared" si="3"/>
        <v>18</v>
      </c>
      <c r="B64" s="225" t="e">
        <f>#REF!</f>
        <v>#REF!</v>
      </c>
      <c r="C64" s="226" t="e">
        <f t="shared" si="2"/>
        <v>#REF!</v>
      </c>
    </row>
    <row r="65" spans="1:3" ht="12.75">
      <c r="A65" s="188">
        <f t="shared" si="3"/>
        <v>17</v>
      </c>
      <c r="B65" s="225" t="e">
        <f>#REF!</f>
        <v>#REF!</v>
      </c>
      <c r="C65" s="226" t="e">
        <f t="shared" si="2"/>
        <v>#REF!</v>
      </c>
    </row>
    <row r="66" spans="1:3" ht="12.75">
      <c r="A66" s="188">
        <f t="shared" si="3"/>
        <v>16</v>
      </c>
      <c r="B66" s="225" t="e">
        <f>#REF!</f>
        <v>#REF!</v>
      </c>
      <c r="C66" s="226" t="e">
        <f t="shared" si="2"/>
        <v>#REF!</v>
      </c>
    </row>
    <row r="67" spans="1:3" ht="12.75">
      <c r="A67" s="188">
        <f t="shared" si="3"/>
        <v>15</v>
      </c>
      <c r="B67" s="225" t="e">
        <f>#REF!</f>
        <v>#REF!</v>
      </c>
      <c r="C67" s="226" t="e">
        <f t="shared" si="2"/>
        <v>#REF!</v>
      </c>
    </row>
    <row r="68" spans="1:3" ht="12.75">
      <c r="A68" s="188">
        <f t="shared" si="3"/>
        <v>14</v>
      </c>
      <c r="B68" s="225" t="e">
        <f>#REF!</f>
        <v>#REF!</v>
      </c>
      <c r="C68" s="226" t="e">
        <f t="shared" si="2"/>
        <v>#REF!</v>
      </c>
    </row>
    <row r="69" spans="1:3" ht="12.75">
      <c r="A69" s="188">
        <f t="shared" si="3"/>
        <v>13</v>
      </c>
      <c r="B69" s="225" t="e">
        <f>#REF!</f>
        <v>#REF!</v>
      </c>
      <c r="C69" s="226" t="e">
        <f t="shared" si="2"/>
        <v>#REF!</v>
      </c>
    </row>
    <row r="70" spans="1:3" ht="12.75">
      <c r="A70" s="188">
        <f t="shared" si="3"/>
        <v>12</v>
      </c>
      <c r="B70" s="225" t="e">
        <f>#REF!</f>
        <v>#REF!</v>
      </c>
      <c r="C70" s="226" t="e">
        <f t="shared" si="2"/>
        <v>#REF!</v>
      </c>
    </row>
    <row r="71" spans="1:3" ht="12.75">
      <c r="A71" s="188">
        <f t="shared" si="3"/>
        <v>11</v>
      </c>
      <c r="B71" s="225" t="e">
        <f>#REF!</f>
        <v>#REF!</v>
      </c>
      <c r="C71" s="226" t="e">
        <f t="shared" si="2"/>
        <v>#REF!</v>
      </c>
    </row>
    <row r="72" spans="1:3" ht="12.75">
      <c r="A72" s="188">
        <f t="shared" si="3"/>
        <v>10</v>
      </c>
      <c r="B72" s="225" t="e">
        <f>#REF!</f>
        <v>#REF!</v>
      </c>
      <c r="C72" s="226" t="e">
        <f t="shared" si="2"/>
        <v>#REF!</v>
      </c>
    </row>
    <row r="73" spans="1:3" ht="12.75">
      <c r="A73" s="188">
        <f t="shared" si="3"/>
        <v>9</v>
      </c>
      <c r="B73" s="225" t="e">
        <f>#REF!</f>
        <v>#REF!</v>
      </c>
      <c r="C73" s="226" t="e">
        <f t="shared" si="2"/>
        <v>#REF!</v>
      </c>
    </row>
    <row r="74" spans="2:3" ht="12.75">
      <c r="B74" s="225"/>
      <c r="C74" s="224"/>
    </row>
    <row r="75" spans="2:3" ht="12.75">
      <c r="B75" s="223"/>
      <c r="C75" s="224"/>
    </row>
    <row r="76" spans="1:3" ht="12.75">
      <c r="A76" s="227">
        <f>A77+1</f>
        <v>34</v>
      </c>
      <c r="B76" s="228">
        <f>B20</f>
        <v>25</v>
      </c>
      <c r="C76" s="226">
        <f aca="true" t="shared" si="4" ref="C76:C101">(LOG(B$47)-LOG(B48))/(LOG(B49)-LOG(B48))*(LOG(B77)-LOG(B76))+LOG(B76)</f>
        <v>4.0163692579548576</v>
      </c>
    </row>
    <row r="77" spans="1:3" ht="12.75">
      <c r="A77" s="227">
        <f>A78+1</f>
        <v>33</v>
      </c>
      <c r="B77" s="228">
        <f>B19</f>
        <v>38</v>
      </c>
      <c r="C77" s="226">
        <f t="shared" si="4"/>
        <v>2.8052086769588467</v>
      </c>
    </row>
    <row r="78" spans="1:3" ht="12.75">
      <c r="A78" s="227">
        <f>A79+1</f>
        <v>32</v>
      </c>
      <c r="B78" s="228">
        <f>B18</f>
        <v>53</v>
      </c>
      <c r="C78" s="226">
        <f t="shared" si="4"/>
        <v>2.892246248215233</v>
      </c>
    </row>
    <row r="79" spans="1:3" ht="12.75">
      <c r="A79" s="227">
        <f>A80+1</f>
        <v>31</v>
      </c>
      <c r="B79" s="228">
        <f>B17</f>
        <v>75</v>
      </c>
      <c r="C79" s="226">
        <f t="shared" si="4"/>
        <v>2.7208115392535244</v>
      </c>
    </row>
    <row r="80" spans="1:3" ht="12.75">
      <c r="A80" s="227">
        <f aca="true" t="shared" si="5" ref="A80:A99">A81+1</f>
        <v>30</v>
      </c>
      <c r="B80" s="228">
        <f>B16</f>
        <v>106</v>
      </c>
      <c r="C80" s="226">
        <f t="shared" si="4"/>
        <v>2.800669654189101</v>
      </c>
    </row>
    <row r="81" spans="1:3" ht="12.75">
      <c r="A81" s="227">
        <f t="shared" si="5"/>
        <v>29</v>
      </c>
      <c r="B81" s="228">
        <f>B15</f>
        <v>150</v>
      </c>
      <c r="C81" s="226">
        <f t="shared" si="4"/>
        <v>2.789231425824083</v>
      </c>
    </row>
    <row r="82" spans="1:3" ht="12.75">
      <c r="A82" s="227">
        <f t="shared" si="5"/>
        <v>28</v>
      </c>
      <c r="B82" s="228">
        <f>B14</f>
        <v>212</v>
      </c>
      <c r="C82" s="226">
        <f t="shared" si="4"/>
        <v>2.8086270308228256</v>
      </c>
    </row>
    <row r="83" spans="1:3" ht="12.75">
      <c r="A83" s="227">
        <f t="shared" si="5"/>
        <v>27</v>
      </c>
      <c r="B83" s="228">
        <f>B13</f>
        <v>300</v>
      </c>
      <c r="C83" s="226">
        <f t="shared" si="4"/>
        <v>2.8134070689061454</v>
      </c>
    </row>
    <row r="84" spans="1:3" ht="12.75">
      <c r="A84" s="227">
        <f t="shared" si="5"/>
        <v>26</v>
      </c>
      <c r="B84" s="228">
        <f>B12</f>
        <v>425</v>
      </c>
      <c r="C84" s="226">
        <f t="shared" si="4"/>
        <v>2.806876770567673</v>
      </c>
    </row>
    <row r="85" spans="1:3" ht="12.75">
      <c r="A85" s="227">
        <f t="shared" si="5"/>
        <v>25</v>
      </c>
      <c r="B85" s="228">
        <f>B11</f>
        <v>600</v>
      </c>
      <c r="C85" s="226">
        <f t="shared" si="4"/>
        <v>2.813717779052616</v>
      </c>
    </row>
    <row r="86" spans="1:3" ht="12.75">
      <c r="A86" s="227">
        <f t="shared" si="5"/>
        <v>24</v>
      </c>
      <c r="B86" s="228">
        <f>B10</f>
        <v>850</v>
      </c>
      <c r="C86" s="226">
        <f t="shared" si="4"/>
        <v>-1.617117958969624</v>
      </c>
    </row>
    <row r="87" spans="1:3" ht="12.75">
      <c r="A87" s="227">
        <f t="shared" si="5"/>
        <v>23</v>
      </c>
      <c r="B87" s="228">
        <f>B9</f>
        <v>1700</v>
      </c>
      <c r="C87" s="226" t="e">
        <f t="shared" si="4"/>
        <v>#REF!</v>
      </c>
    </row>
    <row r="88" spans="1:3" ht="12.75">
      <c r="A88" s="227">
        <f t="shared" si="5"/>
        <v>22</v>
      </c>
      <c r="B88" s="228" t="e">
        <f>#REF!</f>
        <v>#REF!</v>
      </c>
      <c r="C88" s="226" t="e">
        <f t="shared" si="4"/>
        <v>#REF!</v>
      </c>
    </row>
    <row r="89" spans="1:3" ht="12.75">
      <c r="A89" s="227">
        <f t="shared" si="5"/>
        <v>21</v>
      </c>
      <c r="B89" s="228" t="e">
        <f>#REF!</f>
        <v>#REF!</v>
      </c>
      <c r="C89" s="226" t="e">
        <f t="shared" si="4"/>
        <v>#REF!</v>
      </c>
    </row>
    <row r="90" spans="1:3" ht="12.75">
      <c r="A90" s="227">
        <f t="shared" si="5"/>
        <v>20</v>
      </c>
      <c r="B90" s="228" t="e">
        <f>#REF!</f>
        <v>#REF!</v>
      </c>
      <c r="C90" s="226" t="e">
        <f t="shared" si="4"/>
        <v>#REF!</v>
      </c>
    </row>
    <row r="91" spans="1:3" ht="12.75">
      <c r="A91" s="227">
        <f t="shared" si="5"/>
        <v>19</v>
      </c>
      <c r="B91" s="228" t="e">
        <f>#REF!</f>
        <v>#REF!</v>
      </c>
      <c r="C91" s="226" t="e">
        <f t="shared" si="4"/>
        <v>#REF!</v>
      </c>
    </row>
    <row r="92" spans="1:3" ht="12.75">
      <c r="A92" s="227">
        <f t="shared" si="5"/>
        <v>18</v>
      </c>
      <c r="B92" s="228" t="e">
        <f>#REF!</f>
        <v>#REF!</v>
      </c>
      <c r="C92" s="226" t="e">
        <f t="shared" si="4"/>
        <v>#REF!</v>
      </c>
    </row>
    <row r="93" spans="1:3" ht="12.75">
      <c r="A93" s="227">
        <f t="shared" si="5"/>
        <v>17</v>
      </c>
      <c r="B93" s="228" t="e">
        <f>#REF!</f>
        <v>#REF!</v>
      </c>
      <c r="C93" s="226" t="e">
        <f t="shared" si="4"/>
        <v>#REF!</v>
      </c>
    </row>
    <row r="94" spans="1:3" ht="12.75">
      <c r="A94" s="227">
        <f t="shared" si="5"/>
        <v>16</v>
      </c>
      <c r="B94" s="228" t="e">
        <f>#REF!</f>
        <v>#REF!</v>
      </c>
      <c r="C94" s="226" t="e">
        <f t="shared" si="4"/>
        <v>#REF!</v>
      </c>
    </row>
    <row r="95" spans="1:3" ht="12.75">
      <c r="A95" s="227">
        <f t="shared" si="5"/>
        <v>15</v>
      </c>
      <c r="B95" s="228" t="e">
        <f>#REF!</f>
        <v>#REF!</v>
      </c>
      <c r="C95" s="226" t="e">
        <f t="shared" si="4"/>
        <v>#REF!</v>
      </c>
    </row>
    <row r="96" spans="1:3" ht="12.75">
      <c r="A96" s="227">
        <f t="shared" si="5"/>
        <v>14</v>
      </c>
      <c r="B96" s="228" t="e">
        <f>#REF!</f>
        <v>#REF!</v>
      </c>
      <c r="C96" s="226" t="e">
        <f t="shared" si="4"/>
        <v>#REF!</v>
      </c>
    </row>
    <row r="97" spans="1:3" ht="12.75">
      <c r="A97" s="227">
        <f t="shared" si="5"/>
        <v>13</v>
      </c>
      <c r="B97" s="228" t="e">
        <f>#REF!</f>
        <v>#REF!</v>
      </c>
      <c r="C97" s="226" t="e">
        <f t="shared" si="4"/>
        <v>#REF!</v>
      </c>
    </row>
    <row r="98" spans="1:3" ht="12.75">
      <c r="A98" s="227">
        <f t="shared" si="5"/>
        <v>12</v>
      </c>
      <c r="B98" s="228" t="e">
        <f>#REF!</f>
        <v>#REF!</v>
      </c>
      <c r="C98" s="226" t="e">
        <f t="shared" si="4"/>
        <v>#REF!</v>
      </c>
    </row>
    <row r="99" spans="1:3" ht="12.75">
      <c r="A99" s="227">
        <f t="shared" si="5"/>
        <v>11</v>
      </c>
      <c r="B99" s="228" t="e">
        <f>#REF!</f>
        <v>#REF!</v>
      </c>
      <c r="C99" s="226" t="e">
        <f t="shared" si="4"/>
        <v>#REF!</v>
      </c>
    </row>
    <row r="100" spans="1:3" ht="12.75">
      <c r="A100" s="227">
        <f>A101+1</f>
        <v>10</v>
      </c>
      <c r="B100" s="228" t="e">
        <f>#REF!</f>
        <v>#REF!</v>
      </c>
      <c r="C100" s="226" t="e">
        <f t="shared" si="4"/>
        <v>#REF!</v>
      </c>
    </row>
    <row r="101" spans="1:3" ht="12.75">
      <c r="A101" s="227">
        <v>9</v>
      </c>
      <c r="B101" s="228" t="e">
        <f>#REF!</f>
        <v>#REF!</v>
      </c>
      <c r="C101" s="226" t="e">
        <f t="shared" si="4"/>
        <v>#REF!</v>
      </c>
    </row>
    <row r="102" spans="2:3" ht="12.75">
      <c r="B102" s="224"/>
      <c r="C102" s="224"/>
    </row>
    <row r="103" spans="2:3" ht="12.75">
      <c r="B103" s="224"/>
      <c r="C103" s="229">
        <f>VLOOKUP($B47,B48:C73,2)</f>
        <v>651.2050788917564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zoomScalePageLayoutView="0" workbookViewId="0" topLeftCell="A1">
      <selection activeCell="E4" sqref="E4"/>
    </sheetView>
  </sheetViews>
  <sheetFormatPr defaultColWidth="10.7109375" defaultRowHeight="12.75"/>
  <cols>
    <col min="1" max="6" width="11.7109375" style="9" customWidth="1"/>
    <col min="7" max="16384" width="10.7109375" style="9" customWidth="1"/>
  </cols>
  <sheetData>
    <row r="1" spans="1:6" s="1" customFormat="1" ht="12.75">
      <c r="A1" s="5"/>
      <c r="B1" s="6"/>
      <c r="C1" s="7" t="s">
        <v>59</v>
      </c>
      <c r="D1" s="8"/>
      <c r="E1" s="6"/>
      <c r="F1" s="9" t="s">
        <v>60</v>
      </c>
    </row>
    <row r="2" spans="1:6" s="1" customFormat="1" ht="12.75">
      <c r="A2" s="181" t="str">
        <f>'E-GRG-1'!H2</f>
        <v>Fraser</v>
      </c>
      <c r="B2" s="6"/>
      <c r="C2" s="7" t="s">
        <v>61</v>
      </c>
      <c r="D2" s="8"/>
      <c r="E2" s="6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106</v>
      </c>
      <c r="C4" s="2"/>
      <c r="D4" s="2" t="s">
        <v>63</v>
      </c>
      <c r="E4" s="3" t="s">
        <v>110</v>
      </c>
      <c r="F4" s="4"/>
    </row>
    <row r="5" spans="1:6" ht="9" customHeight="1" thickBot="1">
      <c r="A5" s="6"/>
      <c r="B5" s="6"/>
      <c r="C5" s="6"/>
      <c r="D5" s="6"/>
      <c r="E5" s="6"/>
      <c r="F5" s="6"/>
    </row>
    <row r="6" spans="1:8" ht="12.75">
      <c r="A6" s="10" t="s">
        <v>24</v>
      </c>
      <c r="B6" s="11"/>
      <c r="C6" s="12" t="s">
        <v>64</v>
      </c>
      <c r="D6" s="10" t="s">
        <v>65</v>
      </c>
      <c r="E6" s="11"/>
      <c r="F6" s="13" t="s">
        <v>66</v>
      </c>
      <c r="G6" s="6"/>
      <c r="H6" s="14" t="s">
        <v>67</v>
      </c>
    </row>
    <row r="7" spans="1:8" ht="13.5" thickBot="1">
      <c r="A7" s="15" t="s">
        <v>30</v>
      </c>
      <c r="B7" s="15" t="s">
        <v>68</v>
      </c>
      <c r="C7" s="15" t="s">
        <v>12</v>
      </c>
      <c r="D7" s="15" t="s">
        <v>69</v>
      </c>
      <c r="E7" s="15" t="s">
        <v>70</v>
      </c>
      <c r="F7" s="16" t="s">
        <v>70</v>
      </c>
      <c r="G7" s="6"/>
      <c r="H7" s="17">
        <v>80</v>
      </c>
    </row>
    <row r="8" spans="1:7" ht="7.5" customHeight="1">
      <c r="A8" s="18"/>
      <c r="B8" s="18"/>
      <c r="C8" s="18"/>
      <c r="D8" s="18"/>
      <c r="E8" s="18"/>
      <c r="F8" s="19"/>
      <c r="G8" s="6"/>
    </row>
    <row r="9" spans="1:7" ht="12.75">
      <c r="A9" s="20">
        <v>28</v>
      </c>
      <c r="B9" s="20">
        <v>600</v>
      </c>
      <c r="C9" s="201">
        <v>0</v>
      </c>
      <c r="D9" s="21">
        <f>C9/C20*100</f>
        <v>0</v>
      </c>
      <c r="E9" s="21">
        <f>D9</f>
        <v>0</v>
      </c>
      <c r="F9" s="22">
        <f aca="true" t="shared" si="0" ref="F9:F19">100-E9</f>
        <v>100</v>
      </c>
      <c r="G9" s="23"/>
    </row>
    <row r="10" spans="1:7" ht="12.75">
      <c r="A10" s="20">
        <v>35</v>
      </c>
      <c r="B10" s="20">
        <v>425</v>
      </c>
      <c r="C10" s="201">
        <v>1.6</v>
      </c>
      <c r="D10" s="21">
        <f>C10/C20*100</f>
        <v>1.3029315960912053</v>
      </c>
      <c r="E10" s="21">
        <f aca="true" t="shared" si="1" ref="E10:E19">E9+D10</f>
        <v>1.3029315960912053</v>
      </c>
      <c r="F10" s="22">
        <f t="shared" si="0"/>
        <v>98.6970684039088</v>
      </c>
      <c r="G10" s="23"/>
    </row>
    <row r="11" spans="1:7" ht="12.75">
      <c r="A11" s="20">
        <v>48</v>
      </c>
      <c r="B11" s="20">
        <v>300</v>
      </c>
      <c r="C11" s="201">
        <v>13.2</v>
      </c>
      <c r="D11" s="21">
        <f>C11/C20*100</f>
        <v>10.749185667752442</v>
      </c>
      <c r="E11" s="21">
        <f t="shared" si="1"/>
        <v>12.052117263843648</v>
      </c>
      <c r="F11" s="22">
        <f t="shared" si="0"/>
        <v>87.94788273615634</v>
      </c>
      <c r="G11" s="23"/>
    </row>
    <row r="12" spans="1:7" ht="12.75">
      <c r="A12" s="20">
        <v>65</v>
      </c>
      <c r="B12" s="20">
        <v>212</v>
      </c>
      <c r="C12" s="201">
        <v>19.6</v>
      </c>
      <c r="D12" s="21">
        <f>C12/C20*100</f>
        <v>15.960912052117266</v>
      </c>
      <c r="E12" s="21">
        <f t="shared" si="1"/>
        <v>28.013029315960914</v>
      </c>
      <c r="F12" s="22">
        <f t="shared" si="0"/>
        <v>71.98697068403908</v>
      </c>
      <c r="G12" s="23"/>
    </row>
    <row r="13" spans="1:7" ht="12.75">
      <c r="A13" s="20">
        <v>100</v>
      </c>
      <c r="B13" s="20">
        <v>150</v>
      </c>
      <c r="C13" s="201">
        <v>20.1</v>
      </c>
      <c r="D13" s="21">
        <f>C13/C20*100</f>
        <v>16.368078175895768</v>
      </c>
      <c r="E13" s="21">
        <f t="shared" si="1"/>
        <v>44.38110749185668</v>
      </c>
      <c r="F13" s="22">
        <f t="shared" si="0"/>
        <v>55.61889250814332</v>
      </c>
      <c r="G13" s="23"/>
    </row>
    <row r="14" spans="1:7" ht="12.75">
      <c r="A14" s="20">
        <v>150</v>
      </c>
      <c r="B14" s="20">
        <v>106</v>
      </c>
      <c r="C14" s="201">
        <v>16.5</v>
      </c>
      <c r="D14" s="21">
        <f>C14/C20*100</f>
        <v>13.436482084690555</v>
      </c>
      <c r="E14" s="21">
        <f t="shared" si="1"/>
        <v>57.817589576547235</v>
      </c>
      <c r="F14" s="22">
        <f t="shared" si="0"/>
        <v>42.182410423452765</v>
      </c>
      <c r="G14" s="23"/>
    </row>
    <row r="15" spans="1:7" ht="12.75">
      <c r="A15" s="20">
        <v>200</v>
      </c>
      <c r="B15" s="20">
        <v>75</v>
      </c>
      <c r="C15" s="201">
        <v>13.8</v>
      </c>
      <c r="D15" s="21">
        <f>C15/C20*100</f>
        <v>11.237785016286646</v>
      </c>
      <c r="E15" s="21">
        <f t="shared" si="1"/>
        <v>69.05537459283389</v>
      </c>
      <c r="F15" s="22">
        <f t="shared" si="0"/>
        <v>30.944625407166114</v>
      </c>
      <c r="G15" s="23"/>
    </row>
    <row r="16" spans="1:7" ht="12.75">
      <c r="A16" s="20">
        <v>270</v>
      </c>
      <c r="B16" s="20">
        <v>53</v>
      </c>
      <c r="C16" s="201">
        <v>9.6</v>
      </c>
      <c r="D16" s="21">
        <f>C16/C20*100</f>
        <v>7.81758957654723</v>
      </c>
      <c r="E16" s="21">
        <f t="shared" si="1"/>
        <v>76.87296416938112</v>
      </c>
      <c r="F16" s="22">
        <f t="shared" si="0"/>
        <v>23.12703583061888</v>
      </c>
      <c r="G16" s="23"/>
    </row>
    <row r="17" spans="1:7" ht="12.75">
      <c r="A17" s="20">
        <v>400</v>
      </c>
      <c r="B17" s="20">
        <v>38</v>
      </c>
      <c r="C17" s="201">
        <v>6.4</v>
      </c>
      <c r="D17" s="21">
        <f>C17/C20*100</f>
        <v>5.211726384364821</v>
      </c>
      <c r="E17" s="21">
        <f t="shared" si="1"/>
        <v>82.08469055374594</v>
      </c>
      <c r="F17" s="22">
        <f t="shared" si="0"/>
        <v>17.915309446254057</v>
      </c>
      <c r="G17" s="23"/>
    </row>
    <row r="18" spans="1:7" ht="12.75">
      <c r="A18" s="20">
        <v>500</v>
      </c>
      <c r="B18" s="20">
        <v>25</v>
      </c>
      <c r="C18" s="201">
        <v>0.5</v>
      </c>
      <c r="D18" s="21">
        <f>C18/C20*100</f>
        <v>0.40716612377850164</v>
      </c>
      <c r="E18" s="21">
        <f t="shared" si="1"/>
        <v>82.49185667752444</v>
      </c>
      <c r="F18" s="22">
        <f t="shared" si="0"/>
        <v>17.50814332247556</v>
      </c>
      <c r="G18" s="23"/>
    </row>
    <row r="19" spans="1:7" ht="12.75">
      <c r="A19" s="20" t="s">
        <v>71</v>
      </c>
      <c r="B19" s="20">
        <f>-B18</f>
        <v>-25</v>
      </c>
      <c r="C19" s="182">
        <f>C20-SUM(C9:C18)</f>
        <v>21.5</v>
      </c>
      <c r="D19" s="21">
        <f>C19/C20*100</f>
        <v>17.50814332247557</v>
      </c>
      <c r="E19" s="21">
        <f t="shared" si="1"/>
        <v>100</v>
      </c>
      <c r="F19" s="22">
        <f t="shared" si="0"/>
        <v>0</v>
      </c>
      <c r="G19" s="23"/>
    </row>
    <row r="20" spans="1:7" ht="12.75">
      <c r="A20" s="24" t="s">
        <v>36</v>
      </c>
      <c r="B20" s="24" t="s">
        <v>72</v>
      </c>
      <c r="C20" s="25">
        <v>122.8</v>
      </c>
      <c r="D20" s="21">
        <f>SUM(D9:D19)</f>
        <v>100</v>
      </c>
      <c r="E20" s="24" t="s">
        <v>72</v>
      </c>
      <c r="F20" s="26" t="s">
        <v>72</v>
      </c>
      <c r="G20" s="6"/>
    </row>
    <row r="21" spans="1:6" ht="12.75">
      <c r="A21" s="27" t="str">
        <f>"K"&amp;H7</f>
        <v>K80</v>
      </c>
      <c r="B21" s="28">
        <f>C101</f>
        <v>254.56777538180773</v>
      </c>
      <c r="C21" s="29"/>
      <c r="D21" s="30"/>
      <c r="E21" s="29"/>
      <c r="F21" s="31"/>
    </row>
    <row r="22" spans="1:6" ht="12.75">
      <c r="A22" s="32"/>
      <c r="B22" s="33"/>
      <c r="C22" s="34"/>
      <c r="D22" s="35"/>
      <c r="E22" s="34"/>
      <c r="F22" s="34"/>
    </row>
    <row r="23" spans="1:6" ht="12.75">
      <c r="A23" s="32"/>
      <c r="B23" s="33"/>
      <c r="C23" s="34"/>
      <c r="D23" s="35"/>
      <c r="E23" s="34"/>
      <c r="F23" s="34"/>
    </row>
    <row r="24" spans="1:6" ht="12.75">
      <c r="A24" s="32"/>
      <c r="B24" s="33"/>
      <c r="C24" s="34"/>
      <c r="D24" s="35"/>
      <c r="E24" s="34"/>
      <c r="F24" s="34"/>
    </row>
    <row r="25" ht="7.5" customHeight="1"/>
    <row r="29" spans="8:9" ht="12.75">
      <c r="H29" s="36" t="s">
        <v>73</v>
      </c>
      <c r="I29" s="37"/>
    </row>
    <row r="30" spans="8:9" ht="12.75">
      <c r="H30" s="38">
        <v>10</v>
      </c>
      <c r="I30" s="39">
        <f>H7</f>
        <v>80</v>
      </c>
    </row>
    <row r="31" spans="8:9" ht="12.75">
      <c r="H31" s="39">
        <f>B21</f>
        <v>254.56777538180773</v>
      </c>
      <c r="I31" s="38">
        <f>I30</f>
        <v>80</v>
      </c>
    </row>
    <row r="32" spans="8:9" ht="12.75">
      <c r="H32" s="39">
        <f>H31</f>
        <v>254.56777538180773</v>
      </c>
      <c r="I32" s="38">
        <v>0</v>
      </c>
    </row>
    <row r="33" spans="8:9" ht="12.75">
      <c r="H33" s="40"/>
      <c r="I33" s="40"/>
    </row>
    <row r="34" spans="8:9" ht="12.75">
      <c r="H34" s="41" t="str">
        <f>A21&amp;" = "&amp;ROUND(B21,0)&amp;" µm"</f>
        <v>K80 = 255 µm</v>
      </c>
      <c r="I34" s="40"/>
    </row>
    <row r="36" ht="12.75"/>
    <row r="37" ht="12.75"/>
    <row r="38" ht="12.75"/>
    <row r="45" spans="2:3" ht="12.75">
      <c r="B45" s="42">
        <f>H7</f>
        <v>80</v>
      </c>
      <c r="C45" s="43" t="s">
        <v>74</v>
      </c>
    </row>
    <row r="46" spans="1:3" ht="12.75">
      <c r="A46" s="9">
        <v>34</v>
      </c>
      <c r="B46" s="44">
        <f>F$18</f>
        <v>17.50814332247556</v>
      </c>
      <c r="C46" s="45">
        <f>10^C74</f>
        <v>26052559868123.66</v>
      </c>
    </row>
    <row r="47" spans="1:3" ht="12.75">
      <c r="A47" s="9">
        <f>A46-1</f>
        <v>33</v>
      </c>
      <c r="B47" s="44">
        <f>F$17</f>
        <v>17.915309446254057</v>
      </c>
      <c r="C47" s="45">
        <f aca="true" t="shared" si="2" ref="C47:C71">10^C75</f>
        <v>267.0118954871796</v>
      </c>
    </row>
    <row r="48" spans="1:3" ht="12.75">
      <c r="A48" s="9">
        <f aca="true" t="shared" si="3" ref="A48:A71">A47-1</f>
        <v>32</v>
      </c>
      <c r="B48" s="44">
        <f>F$16</f>
        <v>23.12703583061888</v>
      </c>
      <c r="C48" s="45">
        <f t="shared" si="2"/>
        <v>232.75205165316757</v>
      </c>
    </row>
    <row r="49" spans="1:3" ht="12.75">
      <c r="A49" s="9">
        <f t="shared" si="3"/>
        <v>31</v>
      </c>
      <c r="B49" s="44">
        <f>F$15</f>
        <v>30.944625407166114</v>
      </c>
      <c r="C49" s="45">
        <f t="shared" si="2"/>
        <v>216.61864060107604</v>
      </c>
    </row>
    <row r="50" spans="1:3" ht="12.75">
      <c r="A50" s="9">
        <f t="shared" si="3"/>
        <v>30</v>
      </c>
      <c r="B50" s="44">
        <f>F$14</f>
        <v>42.182410423452765</v>
      </c>
      <c r="C50" s="45">
        <f t="shared" si="2"/>
        <v>236.7602745501729</v>
      </c>
    </row>
    <row r="51" spans="1:3" ht="12.75">
      <c r="A51" s="9">
        <f t="shared" si="3"/>
        <v>29</v>
      </c>
      <c r="B51" s="44">
        <f>F$13</f>
        <v>55.61889250814332</v>
      </c>
      <c r="C51" s="45">
        <f t="shared" si="2"/>
        <v>244.23407808722422</v>
      </c>
    </row>
    <row r="52" spans="1:3" ht="12.75">
      <c r="A52" s="9">
        <f t="shared" si="3"/>
        <v>28</v>
      </c>
      <c r="B52" s="44">
        <f>F$12</f>
        <v>71.98697068403908</v>
      </c>
      <c r="C52" s="45">
        <f t="shared" si="2"/>
        <v>254.56777538180773</v>
      </c>
    </row>
    <row r="53" spans="1:3" ht="12.75">
      <c r="A53" s="9">
        <f t="shared" si="3"/>
        <v>27</v>
      </c>
      <c r="B53" s="44">
        <f>F$11</f>
        <v>87.94788273615634</v>
      </c>
      <c r="C53" s="45">
        <f t="shared" si="2"/>
        <v>225.3554709179515</v>
      </c>
    </row>
    <row r="54" spans="1:3" ht="12.75">
      <c r="A54" s="9">
        <f t="shared" si="3"/>
        <v>26</v>
      </c>
      <c r="B54" s="44">
        <f>F$10</f>
        <v>98.6970684039088</v>
      </c>
      <c r="C54" s="45">
        <f t="shared" si="2"/>
        <v>1.698351005987743</v>
      </c>
    </row>
    <row r="55" spans="1:3" ht="12.75">
      <c r="A55" s="9">
        <f t="shared" si="3"/>
        <v>25</v>
      </c>
      <c r="B55" s="44">
        <f>F$9</f>
        <v>100</v>
      </c>
      <c r="C55" s="45" t="e">
        <f t="shared" si="2"/>
        <v>#REF!</v>
      </c>
    </row>
    <row r="56" spans="1:3" ht="12.75">
      <c r="A56" s="9">
        <f t="shared" si="3"/>
        <v>24</v>
      </c>
      <c r="B56" s="44" t="e">
        <f>#REF!</f>
        <v>#REF!</v>
      </c>
      <c r="C56" s="45" t="e">
        <f t="shared" si="2"/>
        <v>#REF!</v>
      </c>
    </row>
    <row r="57" spans="1:3" ht="12.75">
      <c r="A57" s="9">
        <f t="shared" si="3"/>
        <v>23</v>
      </c>
      <c r="B57" s="44" t="e">
        <f>#REF!</f>
        <v>#REF!</v>
      </c>
      <c r="C57" s="45" t="e">
        <f>10^C85</f>
        <v>#REF!</v>
      </c>
    </row>
    <row r="58" spans="1:3" ht="12.75">
      <c r="A58" s="9">
        <f t="shared" si="3"/>
        <v>22</v>
      </c>
      <c r="B58" s="44" t="e">
        <f>#REF!</f>
        <v>#REF!</v>
      </c>
      <c r="C58" s="45" t="e">
        <f t="shared" si="2"/>
        <v>#REF!</v>
      </c>
    </row>
    <row r="59" spans="1:3" ht="12.75">
      <c r="A59" s="9">
        <f t="shared" si="3"/>
        <v>21</v>
      </c>
      <c r="B59" s="44" t="e">
        <f>#REF!</f>
        <v>#REF!</v>
      </c>
      <c r="C59" s="45" t="e">
        <f t="shared" si="2"/>
        <v>#REF!</v>
      </c>
    </row>
    <row r="60" spans="1:3" ht="12.75">
      <c r="A60" s="9">
        <f t="shared" si="3"/>
        <v>20</v>
      </c>
      <c r="B60" s="44" t="e">
        <f>#REF!</f>
        <v>#REF!</v>
      </c>
      <c r="C60" s="45" t="e">
        <f t="shared" si="2"/>
        <v>#REF!</v>
      </c>
    </row>
    <row r="61" spans="1:3" ht="12.75">
      <c r="A61" s="9">
        <f t="shared" si="3"/>
        <v>19</v>
      </c>
      <c r="B61" s="44" t="e">
        <f>#REF!</f>
        <v>#REF!</v>
      </c>
      <c r="C61" s="45" t="e">
        <f t="shared" si="2"/>
        <v>#REF!</v>
      </c>
    </row>
    <row r="62" spans="1:3" ht="12.75">
      <c r="A62" s="9">
        <f t="shared" si="3"/>
        <v>18</v>
      </c>
      <c r="B62" s="44" t="e">
        <f>#REF!</f>
        <v>#REF!</v>
      </c>
      <c r="C62" s="45" t="e">
        <f t="shared" si="2"/>
        <v>#REF!</v>
      </c>
    </row>
    <row r="63" spans="1:3" ht="12.75">
      <c r="A63" s="9">
        <f t="shared" si="3"/>
        <v>17</v>
      </c>
      <c r="B63" s="44" t="e">
        <f>#REF!</f>
        <v>#REF!</v>
      </c>
      <c r="C63" s="45" t="e">
        <f t="shared" si="2"/>
        <v>#REF!</v>
      </c>
    </row>
    <row r="64" spans="1:3" ht="12.75">
      <c r="A64" s="9">
        <f t="shared" si="3"/>
        <v>16</v>
      </c>
      <c r="B64" s="44" t="e">
        <f>#REF!</f>
        <v>#REF!</v>
      </c>
      <c r="C64" s="45" t="e">
        <f t="shared" si="2"/>
        <v>#REF!</v>
      </c>
    </row>
    <row r="65" spans="1:3" ht="12.75">
      <c r="A65" s="9">
        <f t="shared" si="3"/>
        <v>15</v>
      </c>
      <c r="B65" s="44" t="e">
        <f>#REF!</f>
        <v>#REF!</v>
      </c>
      <c r="C65" s="45" t="e">
        <f t="shared" si="2"/>
        <v>#REF!</v>
      </c>
    </row>
    <row r="66" spans="1:3" ht="12.75">
      <c r="A66" s="9">
        <f t="shared" si="3"/>
        <v>14</v>
      </c>
      <c r="B66" s="44" t="e">
        <f>#REF!</f>
        <v>#REF!</v>
      </c>
      <c r="C66" s="45" t="e">
        <f t="shared" si="2"/>
        <v>#REF!</v>
      </c>
    </row>
    <row r="67" spans="1:3" ht="12.75">
      <c r="A67" s="9">
        <f t="shared" si="3"/>
        <v>13</v>
      </c>
      <c r="B67" s="44" t="e">
        <f>#REF!</f>
        <v>#REF!</v>
      </c>
      <c r="C67" s="45" t="e">
        <f t="shared" si="2"/>
        <v>#REF!</v>
      </c>
    </row>
    <row r="68" spans="1:3" ht="12.75">
      <c r="A68" s="9">
        <f t="shared" si="3"/>
        <v>12</v>
      </c>
      <c r="B68" s="44" t="e">
        <f>#REF!</f>
        <v>#REF!</v>
      </c>
      <c r="C68" s="45" t="e">
        <f t="shared" si="2"/>
        <v>#REF!</v>
      </c>
    </row>
    <row r="69" spans="1:3" ht="12.75">
      <c r="A69" s="9">
        <f t="shared" si="3"/>
        <v>11</v>
      </c>
      <c r="B69" s="44" t="e">
        <f>#REF!</f>
        <v>#REF!</v>
      </c>
      <c r="C69" s="45" t="e">
        <f t="shared" si="2"/>
        <v>#REF!</v>
      </c>
    </row>
    <row r="70" spans="1:3" ht="12.75">
      <c r="A70" s="9">
        <f t="shared" si="3"/>
        <v>10</v>
      </c>
      <c r="B70" s="44" t="e">
        <f>#REF!</f>
        <v>#REF!</v>
      </c>
      <c r="C70" s="45" t="e">
        <f t="shared" si="2"/>
        <v>#REF!</v>
      </c>
    </row>
    <row r="71" spans="1:3" ht="12.75">
      <c r="A71" s="9">
        <f t="shared" si="3"/>
        <v>9</v>
      </c>
      <c r="B71" s="44" t="e">
        <f>#REF!</f>
        <v>#REF!</v>
      </c>
      <c r="C71" s="45" t="e">
        <f t="shared" si="2"/>
        <v>#REF!</v>
      </c>
    </row>
    <row r="72" spans="2:3" ht="12.75">
      <c r="B72" s="44"/>
      <c r="C72" s="43"/>
    </row>
    <row r="73" spans="2:3" ht="12.75">
      <c r="B73" s="42"/>
      <c r="C73" s="43"/>
    </row>
    <row r="74" spans="1:3" ht="12.75">
      <c r="A74" s="46">
        <f>A75+1</f>
        <v>34</v>
      </c>
      <c r="B74" s="47">
        <f>B18</f>
        <v>25</v>
      </c>
      <c r="C74" s="45">
        <f aca="true" t="shared" si="4" ref="C74:C99">(LOG(B$45)-LOG(B46))/(LOG(B47)-LOG(B46))*(LOG(B75)-LOG(B74))+LOG(B74)</f>
        <v>13.415850402567607</v>
      </c>
    </row>
    <row r="75" spans="1:3" ht="12.75">
      <c r="A75" s="46">
        <f>A76+1</f>
        <v>33</v>
      </c>
      <c r="B75" s="47">
        <f>B17</f>
        <v>38</v>
      </c>
      <c r="C75" s="45">
        <f t="shared" si="4"/>
        <v>2.4265306097891557</v>
      </c>
    </row>
    <row r="76" spans="1:3" ht="12.75">
      <c r="A76" s="46">
        <f>A77+1</f>
        <v>32</v>
      </c>
      <c r="B76" s="47">
        <f>B16</f>
        <v>53</v>
      </c>
      <c r="C76" s="45">
        <f t="shared" si="4"/>
        <v>2.3668935178713064</v>
      </c>
    </row>
    <row r="77" spans="1:3" ht="12.75">
      <c r="A77" s="46">
        <f>A78+1</f>
        <v>31</v>
      </c>
      <c r="B77" s="47">
        <f>B15</f>
        <v>75</v>
      </c>
      <c r="C77" s="45">
        <f t="shared" si="4"/>
        <v>2.3356958260744203</v>
      </c>
    </row>
    <row r="78" spans="1:3" ht="12.75">
      <c r="A78" s="46">
        <f aca="true" t="shared" si="5" ref="A78:A97">A79+1</f>
        <v>30</v>
      </c>
      <c r="B78" s="47">
        <f>B14</f>
        <v>106</v>
      </c>
      <c r="C78" s="45">
        <f t="shared" si="4"/>
        <v>2.374308834913416</v>
      </c>
    </row>
    <row r="79" spans="1:3" ht="12.75">
      <c r="A79" s="46">
        <f t="shared" si="5"/>
        <v>29</v>
      </c>
      <c r="B79" s="47">
        <f>B13</f>
        <v>150</v>
      </c>
      <c r="C79" s="45">
        <f t="shared" si="4"/>
        <v>2.3878062611349375</v>
      </c>
    </row>
    <row r="80" spans="1:3" ht="12.75">
      <c r="A80" s="46">
        <f t="shared" si="5"/>
        <v>28</v>
      </c>
      <c r="B80" s="47">
        <f>B12</f>
        <v>212</v>
      </c>
      <c r="C80" s="45">
        <f t="shared" si="4"/>
        <v>2.405803427363174</v>
      </c>
    </row>
    <row r="81" spans="1:3" ht="12.75">
      <c r="A81" s="46">
        <f t="shared" si="5"/>
        <v>27</v>
      </c>
      <c r="B81" s="47">
        <f>B11</f>
        <v>300</v>
      </c>
      <c r="C81" s="45">
        <f t="shared" si="4"/>
        <v>2.3528681058311642</v>
      </c>
    </row>
    <row r="82" spans="1:3" ht="12.75">
      <c r="A82" s="46">
        <f t="shared" si="5"/>
        <v>26</v>
      </c>
      <c r="B82" s="47">
        <f>B10</f>
        <v>425</v>
      </c>
      <c r="C82" s="45">
        <f t="shared" si="4"/>
        <v>0.23002745281592762</v>
      </c>
    </row>
    <row r="83" spans="1:3" ht="12.75">
      <c r="A83" s="46">
        <f t="shared" si="5"/>
        <v>25</v>
      </c>
      <c r="B83" s="47">
        <f>B9</f>
        <v>600</v>
      </c>
      <c r="C83" s="45" t="e">
        <f t="shared" si="4"/>
        <v>#REF!</v>
      </c>
    </row>
    <row r="84" spans="1:3" ht="12.75">
      <c r="A84" s="46">
        <f t="shared" si="5"/>
        <v>24</v>
      </c>
      <c r="B84" s="47" t="e">
        <f>#REF!</f>
        <v>#REF!</v>
      </c>
      <c r="C84" s="45" t="e">
        <f t="shared" si="4"/>
        <v>#REF!</v>
      </c>
    </row>
    <row r="85" spans="1:3" ht="12.75">
      <c r="A85" s="46">
        <f t="shared" si="5"/>
        <v>23</v>
      </c>
      <c r="B85" s="47" t="e">
        <f>#REF!</f>
        <v>#REF!</v>
      </c>
      <c r="C85" s="45" t="e">
        <f t="shared" si="4"/>
        <v>#REF!</v>
      </c>
    </row>
    <row r="86" spans="1:3" ht="12.75">
      <c r="A86" s="46">
        <f t="shared" si="5"/>
        <v>22</v>
      </c>
      <c r="B86" s="47" t="e">
        <f>#REF!</f>
        <v>#REF!</v>
      </c>
      <c r="C86" s="45" t="e">
        <f t="shared" si="4"/>
        <v>#REF!</v>
      </c>
    </row>
    <row r="87" spans="1:3" ht="12.75">
      <c r="A87" s="46">
        <f t="shared" si="5"/>
        <v>21</v>
      </c>
      <c r="B87" s="47" t="e">
        <f>#REF!</f>
        <v>#REF!</v>
      </c>
      <c r="C87" s="45" t="e">
        <f t="shared" si="4"/>
        <v>#REF!</v>
      </c>
    </row>
    <row r="88" spans="1:3" ht="12.75">
      <c r="A88" s="46">
        <f t="shared" si="5"/>
        <v>20</v>
      </c>
      <c r="B88" s="47" t="e">
        <f>#REF!</f>
        <v>#REF!</v>
      </c>
      <c r="C88" s="45" t="e">
        <f t="shared" si="4"/>
        <v>#REF!</v>
      </c>
    </row>
    <row r="89" spans="1:3" ht="12.75">
      <c r="A89" s="46">
        <f t="shared" si="5"/>
        <v>19</v>
      </c>
      <c r="B89" s="47" t="e">
        <f>#REF!</f>
        <v>#REF!</v>
      </c>
      <c r="C89" s="45" t="e">
        <f t="shared" si="4"/>
        <v>#REF!</v>
      </c>
    </row>
    <row r="90" spans="1:3" ht="12.75">
      <c r="A90" s="46">
        <f t="shared" si="5"/>
        <v>18</v>
      </c>
      <c r="B90" s="47" t="e">
        <f>#REF!</f>
        <v>#REF!</v>
      </c>
      <c r="C90" s="45" t="e">
        <f t="shared" si="4"/>
        <v>#REF!</v>
      </c>
    </row>
    <row r="91" spans="1:3" ht="12.75">
      <c r="A91" s="46">
        <f t="shared" si="5"/>
        <v>17</v>
      </c>
      <c r="B91" s="47" t="e">
        <f>#REF!</f>
        <v>#REF!</v>
      </c>
      <c r="C91" s="45" t="e">
        <f t="shared" si="4"/>
        <v>#REF!</v>
      </c>
    </row>
    <row r="92" spans="1:3" ht="12.75">
      <c r="A92" s="46">
        <f t="shared" si="5"/>
        <v>16</v>
      </c>
      <c r="B92" s="47" t="e">
        <f>#REF!</f>
        <v>#REF!</v>
      </c>
      <c r="C92" s="45" t="e">
        <f t="shared" si="4"/>
        <v>#REF!</v>
      </c>
    </row>
    <row r="93" spans="1:3" ht="12.75">
      <c r="A93" s="46">
        <f t="shared" si="5"/>
        <v>15</v>
      </c>
      <c r="B93" s="47" t="e">
        <f>#REF!</f>
        <v>#REF!</v>
      </c>
      <c r="C93" s="45" t="e">
        <f t="shared" si="4"/>
        <v>#REF!</v>
      </c>
    </row>
    <row r="94" spans="1:3" ht="12.75">
      <c r="A94" s="46">
        <f t="shared" si="5"/>
        <v>14</v>
      </c>
      <c r="B94" s="47" t="e">
        <f>#REF!</f>
        <v>#REF!</v>
      </c>
      <c r="C94" s="45" t="e">
        <f t="shared" si="4"/>
        <v>#REF!</v>
      </c>
    </row>
    <row r="95" spans="1:3" ht="12.75">
      <c r="A95" s="46">
        <f t="shared" si="5"/>
        <v>13</v>
      </c>
      <c r="B95" s="47" t="e">
        <f>#REF!</f>
        <v>#REF!</v>
      </c>
      <c r="C95" s="45" t="e">
        <f t="shared" si="4"/>
        <v>#REF!</v>
      </c>
    </row>
    <row r="96" spans="1:3" ht="12.75">
      <c r="A96" s="46">
        <f t="shared" si="5"/>
        <v>12</v>
      </c>
      <c r="B96" s="47" t="e">
        <f>#REF!</f>
        <v>#REF!</v>
      </c>
      <c r="C96" s="45" t="e">
        <f t="shared" si="4"/>
        <v>#REF!</v>
      </c>
    </row>
    <row r="97" spans="1:3" ht="12.75">
      <c r="A97" s="46">
        <f t="shared" si="5"/>
        <v>11</v>
      </c>
      <c r="B97" s="47" t="e">
        <f>#REF!</f>
        <v>#REF!</v>
      </c>
      <c r="C97" s="45" t="e">
        <f t="shared" si="4"/>
        <v>#REF!</v>
      </c>
    </row>
    <row r="98" spans="1:3" ht="12.75">
      <c r="A98" s="46">
        <f>A99+1</f>
        <v>10</v>
      </c>
      <c r="B98" s="47" t="e">
        <f>#REF!</f>
        <v>#REF!</v>
      </c>
      <c r="C98" s="45" t="e">
        <f t="shared" si="4"/>
        <v>#REF!</v>
      </c>
    </row>
    <row r="99" spans="1:3" ht="12.75">
      <c r="A99" s="46">
        <v>9</v>
      </c>
      <c r="B99" s="47" t="e">
        <f>#REF!</f>
        <v>#REF!</v>
      </c>
      <c r="C99" s="45" t="e">
        <f t="shared" si="4"/>
        <v>#REF!</v>
      </c>
    </row>
    <row r="100" spans="2:3" ht="12.75">
      <c r="B100" s="43"/>
      <c r="C100" s="43"/>
    </row>
    <row r="101" spans="2:3" ht="12.75">
      <c r="B101" s="43"/>
      <c r="C101" s="48">
        <f>VLOOKUP($B45,B46:C71,2)</f>
        <v>254.56777538180773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zoomScalePageLayoutView="0" workbookViewId="0" topLeftCell="A1">
      <selection activeCell="C11" sqref="C11:C18"/>
    </sheetView>
  </sheetViews>
  <sheetFormatPr defaultColWidth="10.7109375" defaultRowHeight="12.75"/>
  <cols>
    <col min="1" max="6" width="11.7109375" style="9" customWidth="1"/>
    <col min="7" max="16384" width="10.7109375" style="9" customWidth="1"/>
  </cols>
  <sheetData>
    <row r="1" spans="1:6" s="1" customFormat="1" ht="12.75">
      <c r="A1" s="5"/>
      <c r="B1" s="6"/>
      <c r="C1" s="7" t="s">
        <v>59</v>
      </c>
      <c r="D1" s="8"/>
      <c r="E1" s="6"/>
      <c r="F1" s="9" t="s">
        <v>60</v>
      </c>
    </row>
    <row r="2" spans="1:6" s="1" customFormat="1" ht="12.75">
      <c r="A2" s="181" t="str">
        <f>'E-GRG-1'!H2</f>
        <v>Fraser</v>
      </c>
      <c r="B2" s="6"/>
      <c r="C2" s="7" t="s">
        <v>61</v>
      </c>
      <c r="D2" s="8"/>
      <c r="E2" s="6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75</v>
      </c>
      <c r="C4" s="2"/>
      <c r="D4" s="2" t="s">
        <v>63</v>
      </c>
      <c r="E4" s="3" t="s">
        <v>110</v>
      </c>
      <c r="F4" s="4"/>
    </row>
    <row r="5" spans="1:6" ht="9" customHeight="1" thickBot="1">
      <c r="A5" s="6"/>
      <c r="B5" s="6"/>
      <c r="C5" s="6"/>
      <c r="D5" s="6"/>
      <c r="E5" s="6"/>
      <c r="F5" s="6"/>
    </row>
    <row r="6" spans="1:8" ht="12.75">
      <c r="A6" s="10" t="s">
        <v>24</v>
      </c>
      <c r="B6" s="11"/>
      <c r="C6" s="12" t="s">
        <v>64</v>
      </c>
      <c r="D6" s="10" t="s">
        <v>65</v>
      </c>
      <c r="E6" s="11"/>
      <c r="F6" s="13" t="s">
        <v>66</v>
      </c>
      <c r="G6" s="6"/>
      <c r="H6" s="14" t="s">
        <v>67</v>
      </c>
    </row>
    <row r="7" spans="1:8" ht="13.5" thickBot="1">
      <c r="A7" s="15" t="s">
        <v>30</v>
      </c>
      <c r="B7" s="15" t="s">
        <v>68</v>
      </c>
      <c r="C7" s="15" t="s">
        <v>12</v>
      </c>
      <c r="D7" s="15" t="s">
        <v>69</v>
      </c>
      <c r="E7" s="15" t="s">
        <v>70</v>
      </c>
      <c r="F7" s="16" t="s">
        <v>70</v>
      </c>
      <c r="G7" s="6"/>
      <c r="H7" s="17">
        <v>80</v>
      </c>
    </row>
    <row r="8" spans="1:7" ht="7.5" customHeight="1">
      <c r="A8" s="18"/>
      <c r="B8" s="18"/>
      <c r="C8" s="18"/>
      <c r="D8" s="18"/>
      <c r="E8" s="18"/>
      <c r="F8" s="19"/>
      <c r="G8" s="6"/>
    </row>
    <row r="9" spans="1:7" ht="12.75">
      <c r="A9" s="20">
        <v>28</v>
      </c>
      <c r="B9" s="20">
        <v>600</v>
      </c>
      <c r="C9" s="201">
        <v>0</v>
      </c>
      <c r="D9" s="21">
        <f>C9/C20*100</f>
        <v>0</v>
      </c>
      <c r="E9" s="21">
        <f>D9</f>
        <v>0</v>
      </c>
      <c r="F9" s="22">
        <f aca="true" t="shared" si="0" ref="F9:F19">100-E9</f>
        <v>100</v>
      </c>
      <c r="G9" s="23"/>
    </row>
    <row r="10" spans="1:7" ht="12.75">
      <c r="A10" s="20">
        <v>35</v>
      </c>
      <c r="B10" s="20">
        <v>425</v>
      </c>
      <c r="C10" s="201">
        <v>0</v>
      </c>
      <c r="D10" s="21">
        <f>C10/C20*100</f>
        <v>0</v>
      </c>
      <c r="E10" s="21">
        <f aca="true" t="shared" si="1" ref="E10:E19">E9+D10</f>
        <v>0</v>
      </c>
      <c r="F10" s="22">
        <f t="shared" si="0"/>
        <v>100</v>
      </c>
      <c r="G10" s="23"/>
    </row>
    <row r="11" spans="1:7" ht="12.75">
      <c r="A11" s="20">
        <v>48</v>
      </c>
      <c r="B11" s="20">
        <v>300</v>
      </c>
      <c r="C11" s="201">
        <v>5.6</v>
      </c>
      <c r="D11" s="21">
        <f>C11/C20*100</f>
        <v>7.244501940491591</v>
      </c>
      <c r="E11" s="21">
        <f t="shared" si="1"/>
        <v>7.244501940491591</v>
      </c>
      <c r="F11" s="22">
        <f t="shared" si="0"/>
        <v>92.75549805950841</v>
      </c>
      <c r="G11" s="23"/>
    </row>
    <row r="12" spans="1:7" ht="12.75">
      <c r="A12" s="20">
        <v>65</v>
      </c>
      <c r="B12" s="20">
        <v>212</v>
      </c>
      <c r="C12" s="201">
        <v>18.4</v>
      </c>
      <c r="D12" s="21">
        <f>C12/C20*100</f>
        <v>23.803363518758083</v>
      </c>
      <c r="E12" s="21">
        <f t="shared" si="1"/>
        <v>31.047865459249675</v>
      </c>
      <c r="F12" s="22">
        <f t="shared" si="0"/>
        <v>68.95213454075032</v>
      </c>
      <c r="G12" s="23"/>
    </row>
    <row r="13" spans="1:7" ht="12.75">
      <c r="A13" s="20">
        <v>100</v>
      </c>
      <c r="B13" s="20">
        <v>150</v>
      </c>
      <c r="C13" s="201">
        <v>18.5</v>
      </c>
      <c r="D13" s="21">
        <f>C13/C20*100</f>
        <v>23.93272962483829</v>
      </c>
      <c r="E13" s="21">
        <f t="shared" si="1"/>
        <v>54.980595084087966</v>
      </c>
      <c r="F13" s="22">
        <f t="shared" si="0"/>
        <v>45.019404915912034</v>
      </c>
      <c r="G13" s="23"/>
    </row>
    <row r="14" spans="1:7" ht="12.75">
      <c r="A14" s="20">
        <v>150</v>
      </c>
      <c r="B14" s="20">
        <v>106</v>
      </c>
      <c r="C14" s="201">
        <v>12.6</v>
      </c>
      <c r="D14" s="21">
        <f>C14/C20*100</f>
        <v>16.30012936610608</v>
      </c>
      <c r="E14" s="21">
        <f t="shared" si="1"/>
        <v>71.28072445019404</v>
      </c>
      <c r="F14" s="22">
        <f t="shared" si="0"/>
        <v>28.719275549805957</v>
      </c>
      <c r="G14" s="23"/>
    </row>
    <row r="15" spans="1:7" ht="12.75">
      <c r="A15" s="20">
        <v>200</v>
      </c>
      <c r="B15" s="20">
        <v>75</v>
      </c>
      <c r="C15" s="201">
        <v>9.5</v>
      </c>
      <c r="D15" s="21">
        <f>C15/C20*100</f>
        <v>12.289780077619664</v>
      </c>
      <c r="E15" s="21">
        <f t="shared" si="1"/>
        <v>83.57050452781371</v>
      </c>
      <c r="F15" s="22">
        <f t="shared" si="0"/>
        <v>16.42949547218629</v>
      </c>
      <c r="G15" s="23"/>
    </row>
    <row r="16" spans="1:7" ht="12.75">
      <c r="A16" s="20">
        <v>270</v>
      </c>
      <c r="B16" s="20">
        <v>53</v>
      </c>
      <c r="C16" s="201">
        <v>5.6</v>
      </c>
      <c r="D16" s="21">
        <f>C16/C20*100</f>
        <v>7.244501940491591</v>
      </c>
      <c r="E16" s="21">
        <f t="shared" si="1"/>
        <v>90.8150064683053</v>
      </c>
      <c r="F16" s="22">
        <f t="shared" si="0"/>
        <v>9.184993531694701</v>
      </c>
      <c r="G16" s="23"/>
    </row>
    <row r="17" spans="1:7" ht="12.75">
      <c r="A17" s="20">
        <v>400</v>
      </c>
      <c r="B17" s="20">
        <v>38</v>
      </c>
      <c r="C17" s="201">
        <v>4.3</v>
      </c>
      <c r="D17" s="21">
        <f>C17/C20*100</f>
        <v>5.5627425614489</v>
      </c>
      <c r="E17" s="21">
        <f t="shared" si="1"/>
        <v>96.3777490297542</v>
      </c>
      <c r="F17" s="22">
        <f t="shared" si="0"/>
        <v>3.6222509702458012</v>
      </c>
      <c r="G17" s="23"/>
    </row>
    <row r="18" spans="1:7" ht="12.75">
      <c r="A18" s="20">
        <v>500</v>
      </c>
      <c r="B18" s="20">
        <v>25</v>
      </c>
      <c r="C18" s="201">
        <v>2.1</v>
      </c>
      <c r="D18" s="21">
        <f>C18/C20*100</f>
        <v>2.716688227684347</v>
      </c>
      <c r="E18" s="21">
        <f t="shared" si="1"/>
        <v>99.09443725743854</v>
      </c>
      <c r="F18" s="22">
        <f t="shared" si="0"/>
        <v>0.9055627425614574</v>
      </c>
      <c r="G18" s="23"/>
    </row>
    <row r="19" spans="1:7" ht="12.75">
      <c r="A19" s="20" t="s">
        <v>71</v>
      </c>
      <c r="B19" s="20">
        <f>-B18</f>
        <v>-25</v>
      </c>
      <c r="C19" s="182">
        <f>C20-SUM(C9:C18)</f>
        <v>0.700000000000017</v>
      </c>
      <c r="D19" s="21">
        <f>C19/C20*100</f>
        <v>0.9055627425614711</v>
      </c>
      <c r="E19" s="21">
        <f t="shared" si="1"/>
        <v>100.00000000000001</v>
      </c>
      <c r="F19" s="22">
        <f t="shared" si="0"/>
        <v>0</v>
      </c>
      <c r="G19" s="23"/>
    </row>
    <row r="20" spans="1:7" ht="12.75">
      <c r="A20" s="24" t="s">
        <v>36</v>
      </c>
      <c r="B20" s="24" t="s">
        <v>72</v>
      </c>
      <c r="C20" s="25">
        <v>77.3</v>
      </c>
      <c r="D20" s="21">
        <f>SUM(D9:D19)</f>
        <v>100.00000000000001</v>
      </c>
      <c r="E20" s="24" t="s">
        <v>72</v>
      </c>
      <c r="F20" s="26" t="s">
        <v>72</v>
      </c>
      <c r="G20" s="6"/>
    </row>
    <row r="21" spans="1:6" ht="12.75">
      <c r="A21" s="27" t="str">
        <f>"K"&amp;H7</f>
        <v>K80</v>
      </c>
      <c r="B21" s="28">
        <f>C101</f>
        <v>252.28988534440103</v>
      </c>
      <c r="C21" s="29"/>
      <c r="D21" s="30"/>
      <c r="E21" s="29"/>
      <c r="F21" s="31"/>
    </row>
    <row r="22" spans="1:6" ht="12.75">
      <c r="A22" s="32"/>
      <c r="B22" s="33"/>
      <c r="C22" s="34"/>
      <c r="D22" s="35"/>
      <c r="E22" s="34"/>
      <c r="F22" s="34"/>
    </row>
    <row r="23" spans="1:6" ht="12.75">
      <c r="A23" s="32"/>
      <c r="B23" s="33"/>
      <c r="C23" s="34"/>
      <c r="D23" s="35"/>
      <c r="E23" s="34"/>
      <c r="F23" s="34"/>
    </row>
    <row r="24" spans="1:6" ht="12.75">
      <c r="A24" s="32"/>
      <c r="B24" s="33"/>
      <c r="C24" s="34"/>
      <c r="D24" s="35"/>
      <c r="E24" s="34"/>
      <c r="F24" s="34"/>
    </row>
    <row r="25" ht="7.5" customHeight="1"/>
    <row r="29" spans="8:9" ht="12.75">
      <c r="H29" s="36" t="s">
        <v>73</v>
      </c>
      <c r="I29" s="37"/>
    </row>
    <row r="30" spans="8:9" ht="12.75">
      <c r="H30" s="38">
        <v>10</v>
      </c>
      <c r="I30" s="39">
        <f>H7</f>
        <v>80</v>
      </c>
    </row>
    <row r="31" spans="8:9" ht="12.75">
      <c r="H31" s="39">
        <f>B21</f>
        <v>252.28988534440103</v>
      </c>
      <c r="I31" s="38">
        <f>I30</f>
        <v>80</v>
      </c>
    </row>
    <row r="32" spans="8:9" ht="12.75">
      <c r="H32" s="39">
        <f>H31</f>
        <v>252.28988534440103</v>
      </c>
      <c r="I32" s="38">
        <v>0</v>
      </c>
    </row>
    <row r="33" spans="8:9" ht="12.75">
      <c r="H33" s="40"/>
      <c r="I33" s="40"/>
    </row>
    <row r="34" spans="8:9" ht="12.75">
      <c r="H34" s="41" t="str">
        <f>A21&amp;" = "&amp;ROUND(B21,0)&amp;" µm"</f>
        <v>K80 = 252 µm</v>
      </c>
      <c r="I34" s="40"/>
    </row>
    <row r="36" ht="12.75"/>
    <row r="37" ht="12.75"/>
    <row r="38" ht="12.75"/>
    <row r="45" spans="2:3" ht="12.75">
      <c r="B45" s="42">
        <f>H7</f>
        <v>80</v>
      </c>
      <c r="C45" s="43" t="s">
        <v>74</v>
      </c>
    </row>
    <row r="46" spans="1:3" ht="12.75">
      <c r="A46" s="9">
        <v>34</v>
      </c>
      <c r="B46" s="44">
        <f>F$18</f>
        <v>0.9055627425614574</v>
      </c>
      <c r="C46" s="45">
        <f>10^C74</f>
        <v>96.77277345377344</v>
      </c>
    </row>
    <row r="47" spans="1:3" ht="12.75">
      <c r="A47" s="9">
        <f>A46-1</f>
        <v>33</v>
      </c>
      <c r="B47" s="44">
        <f>F$17</f>
        <v>3.6222509702458012</v>
      </c>
      <c r="C47" s="45">
        <f aca="true" t="shared" si="2" ref="C47:C71">10^C75</f>
        <v>114.91885301639928</v>
      </c>
    </row>
    <row r="48" spans="1:3" ht="12.75">
      <c r="A48" s="9">
        <f aca="true" t="shared" si="3" ref="A48:A62">A47-1</f>
        <v>32</v>
      </c>
      <c r="B48" s="44">
        <f>F$16</f>
        <v>9.184993531694701</v>
      </c>
      <c r="C48" s="45">
        <f t="shared" si="2"/>
        <v>192.98402046725892</v>
      </c>
    </row>
    <row r="49" spans="1:3" ht="12.75">
      <c r="A49" s="9">
        <f t="shared" si="3"/>
        <v>31</v>
      </c>
      <c r="B49" s="44">
        <f>F$15</f>
        <v>16.42949547218629</v>
      </c>
      <c r="C49" s="45">
        <f t="shared" si="2"/>
        <v>199.94232984120148</v>
      </c>
    </row>
    <row r="50" spans="1:3" ht="12.75">
      <c r="A50" s="9">
        <f t="shared" si="3"/>
        <v>30</v>
      </c>
      <c r="B50" s="44">
        <f>F$14</f>
        <v>28.719275549805957</v>
      </c>
      <c r="C50" s="45">
        <f t="shared" si="2"/>
        <v>233.8527941441197</v>
      </c>
    </row>
    <row r="51" spans="1:3" ht="12.75">
      <c r="A51" s="9">
        <f t="shared" si="3"/>
        <v>29</v>
      </c>
      <c r="B51" s="44">
        <f>F$13</f>
        <v>45.019404915912034</v>
      </c>
      <c r="C51" s="45">
        <f t="shared" si="2"/>
        <v>239.17229926226844</v>
      </c>
    </row>
    <row r="52" spans="1:3" ht="12.75">
      <c r="A52" s="9">
        <f t="shared" si="3"/>
        <v>28</v>
      </c>
      <c r="B52" s="44">
        <f>F$12</f>
        <v>68.95213454075032</v>
      </c>
      <c r="C52" s="45">
        <f t="shared" si="2"/>
        <v>252.28988534440103</v>
      </c>
    </row>
    <row r="53" spans="1:3" ht="12.75">
      <c r="A53" s="9">
        <f t="shared" si="3"/>
        <v>27</v>
      </c>
      <c r="B53" s="44">
        <f>F$11</f>
        <v>92.75549805950841</v>
      </c>
      <c r="C53" s="45">
        <f t="shared" si="2"/>
        <v>151.19808543024726</v>
      </c>
    </row>
    <row r="54" spans="1:3" ht="12.75">
      <c r="A54" s="9">
        <f t="shared" si="3"/>
        <v>26</v>
      </c>
      <c r="B54" s="44">
        <f>F$10</f>
        <v>100</v>
      </c>
      <c r="C54" s="45" t="e">
        <f t="shared" si="2"/>
        <v>#DIV/0!</v>
      </c>
    </row>
    <row r="55" spans="1:3" ht="12.75">
      <c r="A55" s="9">
        <f t="shared" si="3"/>
        <v>25</v>
      </c>
      <c r="B55" s="44">
        <f>F$9</f>
        <v>100</v>
      </c>
      <c r="C55" s="45" t="e">
        <f t="shared" si="2"/>
        <v>#REF!</v>
      </c>
    </row>
    <row r="56" spans="1:3" ht="12.75">
      <c r="A56" s="9">
        <f t="shared" si="3"/>
        <v>24</v>
      </c>
      <c r="B56" s="44" t="e">
        <f>#REF!</f>
        <v>#REF!</v>
      </c>
      <c r="C56" s="45" t="e">
        <f t="shared" si="2"/>
        <v>#REF!</v>
      </c>
    </row>
    <row r="57" spans="1:3" ht="12.75">
      <c r="A57" s="9">
        <f t="shared" si="3"/>
        <v>23</v>
      </c>
      <c r="B57" s="44" t="e">
        <f>#REF!</f>
        <v>#REF!</v>
      </c>
      <c r="C57" s="45" t="e">
        <f>10^C85</f>
        <v>#REF!</v>
      </c>
    </row>
    <row r="58" spans="1:3" ht="12.75">
      <c r="A58" s="9">
        <f t="shared" si="3"/>
        <v>22</v>
      </c>
      <c r="B58" s="44" t="e">
        <f>#REF!</f>
        <v>#REF!</v>
      </c>
      <c r="C58" s="45" t="e">
        <f t="shared" si="2"/>
        <v>#REF!</v>
      </c>
    </row>
    <row r="59" spans="1:3" ht="12.75">
      <c r="A59" s="9">
        <f t="shared" si="3"/>
        <v>21</v>
      </c>
      <c r="B59" s="44" t="e">
        <f>#REF!</f>
        <v>#REF!</v>
      </c>
      <c r="C59" s="45" t="e">
        <f t="shared" si="2"/>
        <v>#REF!</v>
      </c>
    </row>
    <row r="60" spans="1:3" ht="12.75">
      <c r="A60" s="9">
        <f t="shared" si="3"/>
        <v>20</v>
      </c>
      <c r="B60" s="44" t="e">
        <f>#REF!</f>
        <v>#REF!</v>
      </c>
      <c r="C60" s="45" t="e">
        <f t="shared" si="2"/>
        <v>#REF!</v>
      </c>
    </row>
    <row r="61" spans="1:3" ht="12.75">
      <c r="A61" s="9">
        <f t="shared" si="3"/>
        <v>19</v>
      </c>
      <c r="B61" s="44" t="e">
        <f>#REF!</f>
        <v>#REF!</v>
      </c>
      <c r="C61" s="45" t="e">
        <f t="shared" si="2"/>
        <v>#REF!</v>
      </c>
    </row>
    <row r="62" spans="1:3" ht="12.75">
      <c r="A62" s="9">
        <f t="shared" si="3"/>
        <v>18</v>
      </c>
      <c r="B62" s="44" t="e">
        <f>#REF!</f>
        <v>#REF!</v>
      </c>
      <c r="C62" s="45" t="e">
        <f t="shared" si="2"/>
        <v>#REF!</v>
      </c>
    </row>
    <row r="63" spans="1:3" ht="12.75">
      <c r="A63" s="9">
        <f aca="true" t="shared" si="4" ref="A63:A71">A62-1</f>
        <v>17</v>
      </c>
      <c r="B63" s="44" t="e">
        <f>#REF!</f>
        <v>#REF!</v>
      </c>
      <c r="C63" s="45" t="e">
        <f t="shared" si="2"/>
        <v>#REF!</v>
      </c>
    </row>
    <row r="64" spans="1:3" ht="12.75">
      <c r="A64" s="9">
        <f t="shared" si="4"/>
        <v>16</v>
      </c>
      <c r="B64" s="44" t="e">
        <f>#REF!</f>
        <v>#REF!</v>
      </c>
      <c r="C64" s="45" t="e">
        <f t="shared" si="2"/>
        <v>#REF!</v>
      </c>
    </row>
    <row r="65" spans="1:3" ht="12.75">
      <c r="A65" s="9">
        <f t="shared" si="4"/>
        <v>15</v>
      </c>
      <c r="B65" s="44" t="e">
        <f>#REF!</f>
        <v>#REF!</v>
      </c>
      <c r="C65" s="45" t="e">
        <f t="shared" si="2"/>
        <v>#REF!</v>
      </c>
    </row>
    <row r="66" spans="1:3" ht="12.75">
      <c r="A66" s="9">
        <f t="shared" si="4"/>
        <v>14</v>
      </c>
      <c r="B66" s="44" t="e">
        <f>#REF!</f>
        <v>#REF!</v>
      </c>
      <c r="C66" s="45" t="e">
        <f t="shared" si="2"/>
        <v>#REF!</v>
      </c>
    </row>
    <row r="67" spans="1:3" ht="12.75">
      <c r="A67" s="9">
        <f t="shared" si="4"/>
        <v>13</v>
      </c>
      <c r="B67" s="44" t="e">
        <f>#REF!</f>
        <v>#REF!</v>
      </c>
      <c r="C67" s="45" t="e">
        <f t="shared" si="2"/>
        <v>#REF!</v>
      </c>
    </row>
    <row r="68" spans="1:3" ht="12.75">
      <c r="A68" s="9">
        <f t="shared" si="4"/>
        <v>12</v>
      </c>
      <c r="B68" s="44" t="e">
        <f>#REF!</f>
        <v>#REF!</v>
      </c>
      <c r="C68" s="45" t="e">
        <f t="shared" si="2"/>
        <v>#REF!</v>
      </c>
    </row>
    <row r="69" spans="1:3" ht="12.75">
      <c r="A69" s="9">
        <f t="shared" si="4"/>
        <v>11</v>
      </c>
      <c r="B69" s="44" t="e">
        <f>#REF!</f>
        <v>#REF!</v>
      </c>
      <c r="C69" s="45" t="e">
        <f t="shared" si="2"/>
        <v>#REF!</v>
      </c>
    </row>
    <row r="70" spans="1:3" ht="12.75">
      <c r="A70" s="9">
        <f t="shared" si="4"/>
        <v>10</v>
      </c>
      <c r="B70" s="44" t="e">
        <f>#REF!</f>
        <v>#REF!</v>
      </c>
      <c r="C70" s="45" t="e">
        <f t="shared" si="2"/>
        <v>#REF!</v>
      </c>
    </row>
    <row r="71" spans="1:3" ht="12.75">
      <c r="A71" s="9">
        <f t="shared" si="4"/>
        <v>9</v>
      </c>
      <c r="B71" s="44" t="e">
        <f>#REF!</f>
        <v>#REF!</v>
      </c>
      <c r="C71" s="45" t="e">
        <f t="shared" si="2"/>
        <v>#REF!</v>
      </c>
    </row>
    <row r="72" spans="2:3" ht="12.75">
      <c r="B72" s="44"/>
      <c r="C72" s="43"/>
    </row>
    <row r="73" spans="2:3" ht="12.75">
      <c r="B73" s="42"/>
      <c r="C73" s="43"/>
    </row>
    <row r="74" spans="1:3" ht="12.75">
      <c r="A74" s="46">
        <f>A75+1</f>
        <v>34</v>
      </c>
      <c r="B74" s="47">
        <f>B18</f>
        <v>25</v>
      </c>
      <c r="C74" s="45">
        <f aca="true" t="shared" si="5" ref="C74:C84">(LOG(B$45)-LOG(B46))/(LOG(B47)-LOG(B46))*(LOG(B75)-LOG(B74))+LOG(B74)</f>
        <v>1.985753187866333</v>
      </c>
    </row>
    <row r="75" spans="1:3" ht="12.75">
      <c r="A75" s="46">
        <f>A76+1</f>
        <v>33</v>
      </c>
      <c r="B75" s="47">
        <f>B17</f>
        <v>38</v>
      </c>
      <c r="C75" s="45">
        <f t="shared" si="5"/>
        <v>2.06039128272946</v>
      </c>
    </row>
    <row r="76" spans="1:3" ht="12.75">
      <c r="A76" s="46">
        <f>A77+1</f>
        <v>32</v>
      </c>
      <c r="B76" s="47">
        <f>B16</f>
        <v>53</v>
      </c>
      <c r="C76" s="45">
        <f t="shared" si="5"/>
        <v>2.2855213498875573</v>
      </c>
    </row>
    <row r="77" spans="1:3" ht="12.75">
      <c r="A77" s="46">
        <f>A78+1</f>
        <v>31</v>
      </c>
      <c r="B77" s="47">
        <f>B15</f>
        <v>75</v>
      </c>
      <c r="C77" s="45">
        <f t="shared" si="5"/>
        <v>2.3009047484468623</v>
      </c>
    </row>
    <row r="78" spans="1:3" ht="12.75">
      <c r="A78" s="46">
        <f aca="true" t="shared" si="6" ref="A78:A97">A79+1</f>
        <v>30</v>
      </c>
      <c r="B78" s="47">
        <f>B14</f>
        <v>106</v>
      </c>
      <c r="C78" s="45">
        <f t="shared" si="5"/>
        <v>2.368942563357729</v>
      </c>
    </row>
    <row r="79" spans="1:3" ht="12.75">
      <c r="A79" s="46">
        <f t="shared" si="6"/>
        <v>29</v>
      </c>
      <c r="B79" s="47">
        <f>B13</f>
        <v>150</v>
      </c>
      <c r="C79" s="45">
        <f t="shared" si="5"/>
        <v>2.378710878601561</v>
      </c>
    </row>
    <row r="80" spans="1:3" ht="12.75">
      <c r="A80" s="46">
        <f t="shared" si="6"/>
        <v>28</v>
      </c>
      <c r="B80" s="47">
        <f>B12</f>
        <v>212</v>
      </c>
      <c r="C80" s="45">
        <f t="shared" si="5"/>
        <v>2.401899839391267</v>
      </c>
    </row>
    <row r="81" spans="1:3" ht="12.75">
      <c r="A81" s="46">
        <f t="shared" si="6"/>
        <v>27</v>
      </c>
      <c r="B81" s="47">
        <f>B11</f>
        <v>300</v>
      </c>
      <c r="C81" s="45">
        <f t="shared" si="5"/>
        <v>2.179546291877203</v>
      </c>
    </row>
    <row r="82" spans="1:3" ht="12.75">
      <c r="A82" s="46">
        <f t="shared" si="6"/>
        <v>26</v>
      </c>
      <c r="B82" s="47">
        <f>B10</f>
        <v>425</v>
      </c>
      <c r="C82" s="45" t="e">
        <f t="shared" si="5"/>
        <v>#DIV/0!</v>
      </c>
    </row>
    <row r="83" spans="1:3" ht="12.75">
      <c r="A83" s="46">
        <f t="shared" si="6"/>
        <v>25</v>
      </c>
      <c r="B83" s="47">
        <f>B9</f>
        <v>600</v>
      </c>
      <c r="C83" s="45" t="e">
        <f t="shared" si="5"/>
        <v>#REF!</v>
      </c>
    </row>
    <row r="84" spans="1:3" ht="12.75">
      <c r="A84" s="46">
        <f t="shared" si="6"/>
        <v>24</v>
      </c>
      <c r="B84" s="47" t="e">
        <f>#REF!</f>
        <v>#REF!</v>
      </c>
      <c r="C84" s="45" t="e">
        <f t="shared" si="5"/>
        <v>#REF!</v>
      </c>
    </row>
    <row r="85" spans="1:3" ht="12.75">
      <c r="A85" s="46">
        <f t="shared" si="6"/>
        <v>23</v>
      </c>
      <c r="B85" s="47" t="e">
        <f>#REF!</f>
        <v>#REF!</v>
      </c>
      <c r="C85" s="45" t="e">
        <f aca="true" t="shared" si="7" ref="C85:C99">(LOG(B$45)-LOG(B57))/(LOG(B58)-LOG(B57))*(LOG(B86)-LOG(B85))+LOG(B85)</f>
        <v>#REF!</v>
      </c>
    </row>
    <row r="86" spans="1:3" ht="12.75">
      <c r="A86" s="46">
        <f t="shared" si="6"/>
        <v>22</v>
      </c>
      <c r="B86" s="47" t="e">
        <f>#REF!</f>
        <v>#REF!</v>
      </c>
      <c r="C86" s="45" t="e">
        <f t="shared" si="7"/>
        <v>#REF!</v>
      </c>
    </row>
    <row r="87" spans="1:3" ht="12.75">
      <c r="A87" s="46">
        <f t="shared" si="6"/>
        <v>21</v>
      </c>
      <c r="B87" s="47" t="e">
        <f>#REF!</f>
        <v>#REF!</v>
      </c>
      <c r="C87" s="45" t="e">
        <f t="shared" si="7"/>
        <v>#REF!</v>
      </c>
    </row>
    <row r="88" spans="1:3" ht="12.75">
      <c r="A88" s="46">
        <f t="shared" si="6"/>
        <v>20</v>
      </c>
      <c r="B88" s="47" t="e">
        <f>#REF!</f>
        <v>#REF!</v>
      </c>
      <c r="C88" s="45" t="e">
        <f t="shared" si="7"/>
        <v>#REF!</v>
      </c>
    </row>
    <row r="89" spans="1:3" ht="12.75">
      <c r="A89" s="46">
        <f t="shared" si="6"/>
        <v>19</v>
      </c>
      <c r="B89" s="47" t="e">
        <f>#REF!</f>
        <v>#REF!</v>
      </c>
      <c r="C89" s="45" t="e">
        <f t="shared" si="7"/>
        <v>#REF!</v>
      </c>
    </row>
    <row r="90" spans="1:3" ht="12.75">
      <c r="A90" s="46">
        <f t="shared" si="6"/>
        <v>18</v>
      </c>
      <c r="B90" s="47" t="e">
        <f>#REF!</f>
        <v>#REF!</v>
      </c>
      <c r="C90" s="45" t="e">
        <f t="shared" si="7"/>
        <v>#REF!</v>
      </c>
    </row>
    <row r="91" spans="1:3" ht="12.75">
      <c r="A91" s="46">
        <f t="shared" si="6"/>
        <v>17</v>
      </c>
      <c r="B91" s="47" t="e">
        <f>#REF!</f>
        <v>#REF!</v>
      </c>
      <c r="C91" s="45" t="e">
        <f t="shared" si="7"/>
        <v>#REF!</v>
      </c>
    </row>
    <row r="92" spans="1:3" ht="12.75">
      <c r="A92" s="46">
        <f t="shared" si="6"/>
        <v>16</v>
      </c>
      <c r="B92" s="47" t="e">
        <f>#REF!</f>
        <v>#REF!</v>
      </c>
      <c r="C92" s="45" t="e">
        <f t="shared" si="7"/>
        <v>#REF!</v>
      </c>
    </row>
    <row r="93" spans="1:3" ht="12.75">
      <c r="A93" s="46">
        <f t="shared" si="6"/>
        <v>15</v>
      </c>
      <c r="B93" s="47" t="e">
        <f>#REF!</f>
        <v>#REF!</v>
      </c>
      <c r="C93" s="45" t="e">
        <f t="shared" si="7"/>
        <v>#REF!</v>
      </c>
    </row>
    <row r="94" spans="1:3" ht="12.75">
      <c r="A94" s="46">
        <f t="shared" si="6"/>
        <v>14</v>
      </c>
      <c r="B94" s="47" t="e">
        <f>#REF!</f>
        <v>#REF!</v>
      </c>
      <c r="C94" s="45" t="e">
        <f t="shared" si="7"/>
        <v>#REF!</v>
      </c>
    </row>
    <row r="95" spans="1:3" ht="12.75">
      <c r="A95" s="46">
        <f t="shared" si="6"/>
        <v>13</v>
      </c>
      <c r="B95" s="47" t="e">
        <f>#REF!</f>
        <v>#REF!</v>
      </c>
      <c r="C95" s="45" t="e">
        <f t="shared" si="7"/>
        <v>#REF!</v>
      </c>
    </row>
    <row r="96" spans="1:3" ht="12.75">
      <c r="A96" s="46">
        <f t="shared" si="6"/>
        <v>12</v>
      </c>
      <c r="B96" s="47" t="e">
        <f>#REF!</f>
        <v>#REF!</v>
      </c>
      <c r="C96" s="45" t="e">
        <f t="shared" si="7"/>
        <v>#REF!</v>
      </c>
    </row>
    <row r="97" spans="1:3" ht="12.75">
      <c r="A97" s="46">
        <f t="shared" si="6"/>
        <v>11</v>
      </c>
      <c r="B97" s="47" t="e">
        <f>#REF!</f>
        <v>#REF!</v>
      </c>
      <c r="C97" s="45" t="e">
        <f t="shared" si="7"/>
        <v>#REF!</v>
      </c>
    </row>
    <row r="98" spans="1:3" ht="12.75">
      <c r="A98" s="46">
        <f>A99+1</f>
        <v>10</v>
      </c>
      <c r="B98" s="47" t="e">
        <f>#REF!</f>
        <v>#REF!</v>
      </c>
      <c r="C98" s="45" t="e">
        <f t="shared" si="7"/>
        <v>#REF!</v>
      </c>
    </row>
    <row r="99" spans="1:3" ht="12.75">
      <c r="A99" s="46">
        <v>9</v>
      </c>
      <c r="B99" s="47" t="e">
        <f>#REF!</f>
        <v>#REF!</v>
      </c>
      <c r="C99" s="45" t="e">
        <f t="shared" si="7"/>
        <v>#REF!</v>
      </c>
    </row>
    <row r="100" spans="2:3" ht="12.75">
      <c r="B100" s="43"/>
      <c r="C100" s="43"/>
    </row>
    <row r="101" spans="2:3" ht="12.75">
      <c r="B101" s="43"/>
      <c r="C101" s="48">
        <f>VLOOKUP($B45,B46:C71,2)</f>
        <v>252.28988534440103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showGridLines="0" zoomScalePageLayoutView="0" workbookViewId="0" topLeftCell="A1">
      <selection activeCell="K21" sqref="K7:K21"/>
    </sheetView>
  </sheetViews>
  <sheetFormatPr defaultColWidth="10.7109375" defaultRowHeight="12.75"/>
  <cols>
    <col min="1" max="6" width="11.7109375" style="53" customWidth="1"/>
    <col min="7" max="16384" width="10.7109375" style="53" customWidth="1"/>
  </cols>
  <sheetData>
    <row r="1" spans="1:6" s="1" customFormat="1" ht="12.75">
      <c r="A1" s="49"/>
      <c r="B1" s="50"/>
      <c r="C1" s="51" t="s">
        <v>59</v>
      </c>
      <c r="D1" s="52"/>
      <c r="E1" s="50"/>
      <c r="F1" s="53" t="s">
        <v>60</v>
      </c>
    </row>
    <row r="2" spans="1:6" s="1" customFormat="1" ht="12.75">
      <c r="A2" s="181" t="str">
        <f>'E-GRG-1'!H2</f>
        <v>Fraser</v>
      </c>
      <c r="B2" s="50"/>
      <c r="C2" s="51" t="s">
        <v>61</v>
      </c>
      <c r="D2" s="52"/>
      <c r="E2" s="50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111</v>
      </c>
      <c r="C4" s="2"/>
      <c r="D4" s="2" t="s">
        <v>63</v>
      </c>
      <c r="E4" s="3" t="s">
        <v>110</v>
      </c>
      <c r="F4" s="4"/>
    </row>
    <row r="5" spans="1:6" ht="9" customHeight="1" thickBot="1">
      <c r="A5" s="50"/>
      <c r="B5" s="50"/>
      <c r="C5" s="50"/>
      <c r="D5" s="50"/>
      <c r="E5" s="50"/>
      <c r="F5" s="50"/>
    </row>
    <row r="6" spans="1:8" ht="12.75">
      <c r="A6" s="54" t="s">
        <v>24</v>
      </c>
      <c r="B6" s="55"/>
      <c r="C6" s="56" t="s">
        <v>64</v>
      </c>
      <c r="D6" s="54" t="s">
        <v>65</v>
      </c>
      <c r="E6" s="55"/>
      <c r="F6" s="57" t="s">
        <v>66</v>
      </c>
      <c r="G6" s="50"/>
      <c r="H6" s="58" t="s">
        <v>67</v>
      </c>
    </row>
    <row r="7" spans="1:8" ht="13.5" thickBot="1">
      <c r="A7" s="59" t="s">
        <v>30</v>
      </c>
      <c r="B7" s="59" t="s">
        <v>68</v>
      </c>
      <c r="C7" s="59" t="s">
        <v>12</v>
      </c>
      <c r="D7" s="59" t="s">
        <v>69</v>
      </c>
      <c r="E7" s="59" t="s">
        <v>70</v>
      </c>
      <c r="F7" s="60" t="s">
        <v>70</v>
      </c>
      <c r="G7" s="50"/>
      <c r="H7" s="61">
        <v>80</v>
      </c>
    </row>
    <row r="8" spans="1:11" ht="7.5" customHeight="1">
      <c r="A8" s="62"/>
      <c r="B8" s="62"/>
      <c r="C8" s="62"/>
      <c r="D8" s="62"/>
      <c r="E8" s="62"/>
      <c r="F8" s="63"/>
      <c r="G8" s="50"/>
      <c r="K8" s="201"/>
    </row>
    <row r="9" spans="1:11" ht="12.75">
      <c r="A9" s="64">
        <v>28</v>
      </c>
      <c r="B9" s="64">
        <v>600</v>
      </c>
      <c r="C9" s="201">
        <v>0</v>
      </c>
      <c r="D9" s="65">
        <f>C9/C20*100</f>
        <v>0</v>
      </c>
      <c r="E9" s="65">
        <f>D9</f>
        <v>0</v>
      </c>
      <c r="F9" s="66">
        <f aca="true" t="shared" si="0" ref="F9:F19">100-E9</f>
        <v>100</v>
      </c>
      <c r="G9" s="67"/>
      <c r="K9" s="201"/>
    </row>
    <row r="10" spans="1:11" ht="12.75">
      <c r="A10" s="64">
        <v>35</v>
      </c>
      <c r="B10" s="64">
        <v>425</v>
      </c>
      <c r="C10" s="201">
        <v>1.6</v>
      </c>
      <c r="D10" s="65">
        <f>C10/C20*100</f>
        <v>0.4606968039159228</v>
      </c>
      <c r="E10" s="65">
        <f aca="true" t="shared" si="1" ref="E10:E19">E9+D10</f>
        <v>0.4606968039159228</v>
      </c>
      <c r="F10" s="66">
        <f t="shared" si="0"/>
        <v>99.53930319608408</v>
      </c>
      <c r="G10" s="67"/>
      <c r="K10" s="201"/>
    </row>
    <row r="11" spans="1:11" ht="12.75">
      <c r="A11" s="64">
        <v>48</v>
      </c>
      <c r="B11" s="64">
        <v>300</v>
      </c>
      <c r="C11" s="201">
        <v>28.7</v>
      </c>
      <c r="D11" s="65">
        <f>C11/C20*100</f>
        <v>8.263748920241866</v>
      </c>
      <c r="E11" s="65">
        <f t="shared" si="1"/>
        <v>8.724445724157789</v>
      </c>
      <c r="F11" s="66">
        <f t="shared" si="0"/>
        <v>91.27555427584221</v>
      </c>
      <c r="G11" s="67"/>
      <c r="K11" s="201"/>
    </row>
    <row r="12" spans="1:11" ht="12.75">
      <c r="A12" s="64">
        <v>65</v>
      </c>
      <c r="B12" s="64">
        <v>212</v>
      </c>
      <c r="C12" s="201">
        <v>67.5</v>
      </c>
      <c r="D12" s="65">
        <f>C12/C20*100</f>
        <v>19.435646415202996</v>
      </c>
      <c r="E12" s="65">
        <f t="shared" si="1"/>
        <v>28.160092139360785</v>
      </c>
      <c r="F12" s="66">
        <f t="shared" si="0"/>
        <v>71.83990786063922</v>
      </c>
      <c r="G12" s="67"/>
      <c r="K12" s="201"/>
    </row>
    <row r="13" spans="1:11" ht="12.75">
      <c r="A13" s="64">
        <v>100</v>
      </c>
      <c r="B13" s="64">
        <v>150</v>
      </c>
      <c r="C13" s="201">
        <v>65</v>
      </c>
      <c r="D13" s="65">
        <f>C13/C20*100</f>
        <v>18.715807659084366</v>
      </c>
      <c r="E13" s="65">
        <f t="shared" si="1"/>
        <v>46.87589979844515</v>
      </c>
      <c r="F13" s="66">
        <f t="shared" si="0"/>
        <v>53.12410020155485</v>
      </c>
      <c r="G13" s="67"/>
      <c r="K13" s="201"/>
    </row>
    <row r="14" spans="1:11" ht="12.75">
      <c r="A14" s="64">
        <v>150</v>
      </c>
      <c r="B14" s="64">
        <v>106</v>
      </c>
      <c r="C14" s="201">
        <v>50.8</v>
      </c>
      <c r="D14" s="65">
        <f>C14/C20*100</f>
        <v>14.627123524330548</v>
      </c>
      <c r="E14" s="65">
        <f t="shared" si="1"/>
        <v>61.5030233227757</v>
      </c>
      <c r="F14" s="66">
        <f t="shared" si="0"/>
        <v>38.4969766772243</v>
      </c>
      <c r="G14" s="67"/>
      <c r="K14" s="201"/>
    </row>
    <row r="15" spans="1:11" ht="12.75">
      <c r="A15" s="64">
        <v>200</v>
      </c>
      <c r="B15" s="64">
        <v>75</v>
      </c>
      <c r="C15" s="201">
        <v>38.1</v>
      </c>
      <c r="D15" s="65">
        <f>C15/C20*100</f>
        <v>10.970342643247912</v>
      </c>
      <c r="E15" s="65">
        <f t="shared" si="1"/>
        <v>72.47336596602361</v>
      </c>
      <c r="F15" s="66">
        <f t="shared" si="0"/>
        <v>27.526634033976393</v>
      </c>
      <c r="G15" s="67"/>
      <c r="K15" s="201"/>
    </row>
    <row r="16" spans="1:11" ht="12.75">
      <c r="A16" s="64">
        <v>270</v>
      </c>
      <c r="B16" s="64">
        <v>53</v>
      </c>
      <c r="C16" s="201">
        <v>24.2</v>
      </c>
      <c r="D16" s="65">
        <f>C16/C20*100</f>
        <v>6.968039159228333</v>
      </c>
      <c r="E16" s="65">
        <f t="shared" si="1"/>
        <v>79.44140512525195</v>
      </c>
      <c r="F16" s="66">
        <f t="shared" si="0"/>
        <v>20.558594874748053</v>
      </c>
      <c r="G16" s="67"/>
      <c r="K16" s="201"/>
    </row>
    <row r="17" spans="1:11" ht="12.75">
      <c r="A17" s="64">
        <v>400</v>
      </c>
      <c r="B17" s="64">
        <v>38</v>
      </c>
      <c r="C17" s="201">
        <v>20</v>
      </c>
      <c r="D17" s="65">
        <f>C17/C20*100</f>
        <v>5.758710048949036</v>
      </c>
      <c r="E17" s="65">
        <f t="shared" si="1"/>
        <v>85.20011517420099</v>
      </c>
      <c r="F17" s="66">
        <f t="shared" si="0"/>
        <v>14.799884825799012</v>
      </c>
      <c r="G17" s="67"/>
      <c r="K17" s="201"/>
    </row>
    <row r="18" spans="1:11" ht="12.75">
      <c r="A18" s="64">
        <v>500</v>
      </c>
      <c r="B18" s="64">
        <v>25</v>
      </c>
      <c r="C18" s="201">
        <v>11.4</v>
      </c>
      <c r="D18" s="65">
        <f>C18/C20*100</f>
        <v>3.2824647279009502</v>
      </c>
      <c r="E18" s="65">
        <f t="shared" si="1"/>
        <v>88.48257990210193</v>
      </c>
      <c r="F18" s="66">
        <f t="shared" si="0"/>
        <v>11.517420097898068</v>
      </c>
      <c r="G18" s="67"/>
      <c r="K18" s="65"/>
    </row>
    <row r="19" spans="1:11" ht="12.75">
      <c r="A19" s="64" t="s">
        <v>71</v>
      </c>
      <c r="B19" s="64">
        <f>-B18</f>
        <v>-25</v>
      </c>
      <c r="C19" s="65">
        <f>C20-SUM(C9:C18)</f>
        <v>40</v>
      </c>
      <c r="D19" s="65">
        <f>C19/C20*100</f>
        <v>11.517420097898071</v>
      </c>
      <c r="E19" s="65">
        <f t="shared" si="1"/>
        <v>100</v>
      </c>
      <c r="F19" s="66">
        <f t="shared" si="0"/>
        <v>0</v>
      </c>
      <c r="G19" s="67"/>
      <c r="K19" s="69"/>
    </row>
    <row r="20" spans="1:7" ht="12.75">
      <c r="A20" s="68" t="s">
        <v>36</v>
      </c>
      <c r="B20" s="68" t="s">
        <v>72</v>
      </c>
      <c r="C20" s="69">
        <v>347.3</v>
      </c>
      <c r="D20" s="65">
        <f>SUM(D9:D19)</f>
        <v>100</v>
      </c>
      <c r="E20" s="68" t="s">
        <v>72</v>
      </c>
      <c r="F20" s="70" t="s">
        <v>72</v>
      </c>
      <c r="G20" s="50"/>
    </row>
    <row r="21" spans="1:6" ht="12.75">
      <c r="A21" s="71" t="str">
        <f>"K"&amp;H7</f>
        <v>K80</v>
      </c>
      <c r="B21" s="72">
        <f>C101</f>
        <v>247.79170940110112</v>
      </c>
      <c r="C21" s="73"/>
      <c r="D21" s="74"/>
      <c r="E21" s="73"/>
      <c r="F21" s="75"/>
    </row>
    <row r="22" spans="1:6" ht="12.75">
      <c r="A22" s="76"/>
      <c r="B22" s="77"/>
      <c r="C22" s="78"/>
      <c r="D22" s="79"/>
      <c r="E22" s="78"/>
      <c r="F22" s="78"/>
    </row>
    <row r="23" spans="1:6" ht="12.75">
      <c r="A23" s="76"/>
      <c r="B23" s="77"/>
      <c r="C23" s="78"/>
      <c r="D23" s="79"/>
      <c r="E23" s="78"/>
      <c r="F23" s="78"/>
    </row>
    <row r="24" spans="1:6" ht="12.75">
      <c r="A24" s="76"/>
      <c r="B24" s="77"/>
      <c r="C24" s="78"/>
      <c r="D24" s="79"/>
      <c r="E24" s="78"/>
      <c r="F24" s="78"/>
    </row>
    <row r="25" ht="7.5" customHeight="1"/>
    <row r="29" spans="8:9" ht="12.75">
      <c r="H29" s="80" t="s">
        <v>73</v>
      </c>
      <c r="I29" s="81"/>
    </row>
    <row r="30" spans="8:9" ht="12.75">
      <c r="H30" s="82">
        <v>10</v>
      </c>
      <c r="I30" s="83">
        <f>H7</f>
        <v>80</v>
      </c>
    </row>
    <row r="31" spans="8:9" ht="12.75">
      <c r="H31" s="83">
        <f>B21</f>
        <v>247.79170940110112</v>
      </c>
      <c r="I31" s="82">
        <f>I30</f>
        <v>80</v>
      </c>
    </row>
    <row r="32" spans="8:9" ht="12.75">
      <c r="H32" s="83">
        <f>H31</f>
        <v>247.79170940110112</v>
      </c>
      <c r="I32" s="82">
        <v>0</v>
      </c>
    </row>
    <row r="33" spans="8:9" ht="12.75">
      <c r="H33" s="84"/>
      <c r="I33" s="84"/>
    </row>
    <row r="34" spans="8:9" ht="12.75">
      <c r="H34" s="85" t="str">
        <f>A21&amp;" = "&amp;ROUND(B21,0)&amp;" µm"</f>
        <v>K80 = 248 µm</v>
      </c>
      <c r="I34" s="84"/>
    </row>
    <row r="36" ht="12.75"/>
    <row r="37" ht="12.75"/>
    <row r="38" ht="12.75"/>
    <row r="45" spans="2:3" ht="12.75">
      <c r="B45" s="86">
        <f>H7</f>
        <v>80</v>
      </c>
      <c r="C45" s="87" t="s">
        <v>74</v>
      </c>
    </row>
    <row r="46" spans="1:3" ht="12.75">
      <c r="A46" s="53">
        <v>34</v>
      </c>
      <c r="B46" s="88">
        <f>F$18</f>
        <v>11.517420097898068</v>
      </c>
      <c r="C46" s="89">
        <f>10^C74</f>
        <v>635.9847156320645</v>
      </c>
    </row>
    <row r="47" spans="1:3" ht="12.75">
      <c r="A47" s="53">
        <f>A46-1</f>
        <v>33</v>
      </c>
      <c r="B47" s="88">
        <f>F$17</f>
        <v>14.799884825799012</v>
      </c>
      <c r="C47" s="89">
        <f aca="true" t="shared" si="2" ref="C47:C71">10^C75</f>
        <v>209.71861287497063</v>
      </c>
    </row>
    <row r="48" spans="1:3" ht="12.75">
      <c r="A48" s="53">
        <f aca="true" t="shared" si="3" ref="A48:A71">A47-1</f>
        <v>32</v>
      </c>
      <c r="B48" s="88">
        <f>F$16</f>
        <v>20.558594874748053</v>
      </c>
      <c r="C48" s="89">
        <f t="shared" si="2"/>
        <v>266.81967829926253</v>
      </c>
    </row>
    <row r="49" spans="1:3" ht="12.75">
      <c r="A49" s="53">
        <f t="shared" si="3"/>
        <v>31</v>
      </c>
      <c r="B49" s="88">
        <f>F$15</f>
        <v>27.526634033976393</v>
      </c>
      <c r="C49" s="89">
        <f t="shared" si="2"/>
        <v>225.39131733673943</v>
      </c>
    </row>
    <row r="50" spans="1:3" ht="12.75">
      <c r="A50" s="53">
        <f t="shared" si="3"/>
        <v>30</v>
      </c>
      <c r="B50" s="88">
        <f>F$14</f>
        <v>38.4969766772243</v>
      </c>
      <c r="C50" s="89">
        <f t="shared" si="2"/>
        <v>233.22326498400005</v>
      </c>
    </row>
    <row r="51" spans="1:3" ht="12.75">
      <c r="A51" s="53">
        <f t="shared" si="3"/>
        <v>29</v>
      </c>
      <c r="B51" s="88">
        <f>F$13</f>
        <v>53.12410020155485</v>
      </c>
      <c r="C51" s="89">
        <f t="shared" si="2"/>
        <v>239.8246349665122</v>
      </c>
    </row>
    <row r="52" spans="1:3" ht="12.75">
      <c r="A52" s="53">
        <f t="shared" si="3"/>
        <v>28</v>
      </c>
      <c r="B52" s="88">
        <f>F$12</f>
        <v>71.83990786063922</v>
      </c>
      <c r="C52" s="89">
        <f t="shared" si="2"/>
        <v>247.79170940110112</v>
      </c>
    </row>
    <row r="53" spans="1:3" ht="12.75">
      <c r="A53" s="53">
        <f t="shared" si="3"/>
        <v>27</v>
      </c>
      <c r="B53" s="88">
        <f>F$11</f>
        <v>91.27555427584221</v>
      </c>
      <c r="C53" s="89">
        <f t="shared" si="2"/>
        <v>176.5986445961575</v>
      </c>
    </row>
    <row r="54" spans="1:3" ht="12.75">
      <c r="A54" s="53">
        <f t="shared" si="3"/>
        <v>26</v>
      </c>
      <c r="B54" s="88">
        <f>F$10</f>
        <v>99.53930319608408</v>
      </c>
      <c r="C54" s="89">
        <f t="shared" si="2"/>
        <v>3.475130092756082E-05</v>
      </c>
    </row>
    <row r="55" spans="1:3" ht="12.75">
      <c r="A55" s="53">
        <f t="shared" si="3"/>
        <v>25</v>
      </c>
      <c r="B55" s="88">
        <f>F$9</f>
        <v>100</v>
      </c>
      <c r="C55" s="89" t="e">
        <f t="shared" si="2"/>
        <v>#REF!</v>
      </c>
    </row>
    <row r="56" spans="1:3" ht="12.75">
      <c r="A56" s="53">
        <f t="shared" si="3"/>
        <v>24</v>
      </c>
      <c r="B56" s="88" t="e">
        <f>#REF!</f>
        <v>#REF!</v>
      </c>
      <c r="C56" s="89" t="e">
        <f t="shared" si="2"/>
        <v>#REF!</v>
      </c>
    </row>
    <row r="57" spans="1:3" ht="12.75">
      <c r="A57" s="53">
        <f t="shared" si="3"/>
        <v>23</v>
      </c>
      <c r="B57" s="88" t="e">
        <f>#REF!</f>
        <v>#REF!</v>
      </c>
      <c r="C57" s="89" t="e">
        <f>10^C85</f>
        <v>#REF!</v>
      </c>
    </row>
    <row r="58" spans="1:3" ht="12.75">
      <c r="A58" s="53">
        <f t="shared" si="3"/>
        <v>22</v>
      </c>
      <c r="B58" s="88" t="e">
        <f>#REF!</f>
        <v>#REF!</v>
      </c>
      <c r="C58" s="89" t="e">
        <f t="shared" si="2"/>
        <v>#REF!</v>
      </c>
    </row>
    <row r="59" spans="1:3" ht="12.75">
      <c r="A59" s="53">
        <f t="shared" si="3"/>
        <v>21</v>
      </c>
      <c r="B59" s="88" t="e">
        <f>#REF!</f>
        <v>#REF!</v>
      </c>
      <c r="C59" s="89" t="e">
        <f t="shared" si="2"/>
        <v>#REF!</v>
      </c>
    </row>
    <row r="60" spans="1:3" ht="12.75">
      <c r="A60" s="53">
        <f t="shared" si="3"/>
        <v>20</v>
      </c>
      <c r="B60" s="88" t="e">
        <f>#REF!</f>
        <v>#REF!</v>
      </c>
      <c r="C60" s="89" t="e">
        <f t="shared" si="2"/>
        <v>#REF!</v>
      </c>
    </row>
    <row r="61" spans="1:3" ht="12.75">
      <c r="A61" s="53">
        <f t="shared" si="3"/>
        <v>19</v>
      </c>
      <c r="B61" s="88" t="e">
        <f>#REF!</f>
        <v>#REF!</v>
      </c>
      <c r="C61" s="89" t="e">
        <f t="shared" si="2"/>
        <v>#REF!</v>
      </c>
    </row>
    <row r="62" spans="1:3" ht="12.75">
      <c r="A62" s="53">
        <f t="shared" si="3"/>
        <v>18</v>
      </c>
      <c r="B62" s="88" t="e">
        <f>#REF!</f>
        <v>#REF!</v>
      </c>
      <c r="C62" s="89" t="e">
        <f t="shared" si="2"/>
        <v>#REF!</v>
      </c>
    </row>
    <row r="63" spans="1:3" ht="12.75">
      <c r="A63" s="53">
        <f t="shared" si="3"/>
        <v>17</v>
      </c>
      <c r="B63" s="88" t="e">
        <f>#REF!</f>
        <v>#REF!</v>
      </c>
      <c r="C63" s="89" t="e">
        <f t="shared" si="2"/>
        <v>#REF!</v>
      </c>
    </row>
    <row r="64" spans="1:3" ht="12.75">
      <c r="A64" s="53">
        <f t="shared" si="3"/>
        <v>16</v>
      </c>
      <c r="B64" s="88" t="e">
        <f>#REF!</f>
        <v>#REF!</v>
      </c>
      <c r="C64" s="89" t="e">
        <f t="shared" si="2"/>
        <v>#REF!</v>
      </c>
    </row>
    <row r="65" spans="1:3" ht="12.75">
      <c r="A65" s="53">
        <f t="shared" si="3"/>
        <v>15</v>
      </c>
      <c r="B65" s="88" t="e">
        <f>#REF!</f>
        <v>#REF!</v>
      </c>
      <c r="C65" s="89" t="e">
        <f t="shared" si="2"/>
        <v>#REF!</v>
      </c>
    </row>
    <row r="66" spans="1:3" ht="12.75">
      <c r="A66" s="53">
        <f t="shared" si="3"/>
        <v>14</v>
      </c>
      <c r="B66" s="88" t="e">
        <f>#REF!</f>
        <v>#REF!</v>
      </c>
      <c r="C66" s="89" t="e">
        <f t="shared" si="2"/>
        <v>#REF!</v>
      </c>
    </row>
    <row r="67" spans="1:3" ht="12.75">
      <c r="A67" s="53">
        <f t="shared" si="3"/>
        <v>13</v>
      </c>
      <c r="B67" s="88" t="e">
        <f>#REF!</f>
        <v>#REF!</v>
      </c>
      <c r="C67" s="89" t="e">
        <f t="shared" si="2"/>
        <v>#REF!</v>
      </c>
    </row>
    <row r="68" spans="1:3" ht="12.75">
      <c r="A68" s="53">
        <f t="shared" si="3"/>
        <v>12</v>
      </c>
      <c r="B68" s="88" t="e">
        <f>#REF!</f>
        <v>#REF!</v>
      </c>
      <c r="C68" s="89" t="e">
        <f t="shared" si="2"/>
        <v>#REF!</v>
      </c>
    </row>
    <row r="69" spans="1:3" ht="12.75">
      <c r="A69" s="53">
        <f t="shared" si="3"/>
        <v>11</v>
      </c>
      <c r="B69" s="88" t="e">
        <f>#REF!</f>
        <v>#REF!</v>
      </c>
      <c r="C69" s="89" t="e">
        <f t="shared" si="2"/>
        <v>#REF!</v>
      </c>
    </row>
    <row r="70" spans="1:3" ht="12.75">
      <c r="A70" s="53">
        <f t="shared" si="3"/>
        <v>10</v>
      </c>
      <c r="B70" s="88" t="e">
        <f>#REF!</f>
        <v>#REF!</v>
      </c>
      <c r="C70" s="89" t="e">
        <f t="shared" si="2"/>
        <v>#REF!</v>
      </c>
    </row>
    <row r="71" spans="1:3" ht="12.75">
      <c r="A71" s="53">
        <f t="shared" si="3"/>
        <v>9</v>
      </c>
      <c r="B71" s="88" t="e">
        <f>#REF!</f>
        <v>#REF!</v>
      </c>
      <c r="C71" s="89" t="e">
        <f t="shared" si="2"/>
        <v>#REF!</v>
      </c>
    </row>
    <row r="72" spans="2:3" ht="12.75">
      <c r="B72" s="88"/>
      <c r="C72" s="87"/>
    </row>
    <row r="73" spans="2:3" ht="12.75">
      <c r="B73" s="86"/>
      <c r="C73" s="87"/>
    </row>
    <row r="74" spans="1:3" ht="12.75">
      <c r="A74" s="90">
        <f>A75+1</f>
        <v>34</v>
      </c>
      <c r="B74" s="91">
        <f>B18</f>
        <v>25</v>
      </c>
      <c r="C74" s="89">
        <f aca="true" t="shared" si="4" ref="C74:C99">(LOG(B$45)-LOG(B46))/(LOG(B47)-LOG(B46))*(LOG(B75)-LOG(B74))+LOG(B74)</f>
        <v>2.80344667854713</v>
      </c>
    </row>
    <row r="75" spans="1:3" ht="12.75">
      <c r="A75" s="90">
        <f>A76+1</f>
        <v>33</v>
      </c>
      <c r="B75" s="91">
        <f>B17</f>
        <v>38</v>
      </c>
      <c r="C75" s="89">
        <f t="shared" si="4"/>
        <v>2.3216369765319667</v>
      </c>
    </row>
    <row r="76" spans="1:3" ht="12.75">
      <c r="A76" s="90">
        <f>A77+1</f>
        <v>32</v>
      </c>
      <c r="B76" s="91">
        <f>B16</f>
        <v>53</v>
      </c>
      <c r="C76" s="89">
        <f t="shared" si="4"/>
        <v>2.4262178562101386</v>
      </c>
    </row>
    <row r="77" spans="1:3" ht="12.75">
      <c r="A77" s="90">
        <f>A78+1</f>
        <v>31</v>
      </c>
      <c r="B77" s="91">
        <f>B15</f>
        <v>75</v>
      </c>
      <c r="C77" s="89">
        <f t="shared" si="4"/>
        <v>2.3529371818725875</v>
      </c>
    </row>
    <row r="78" spans="1:3" ht="12.75">
      <c r="A78" s="90">
        <f aca="true" t="shared" si="5" ref="A78:A97">A79+1</f>
        <v>30</v>
      </c>
      <c r="B78" s="91">
        <f>B14</f>
        <v>106</v>
      </c>
      <c r="C78" s="89">
        <f t="shared" si="4"/>
        <v>2.3677718709163305</v>
      </c>
    </row>
    <row r="79" spans="1:3" ht="12.75">
      <c r="A79" s="90">
        <f t="shared" si="5"/>
        <v>29</v>
      </c>
      <c r="B79" s="91">
        <f>B13</f>
        <v>150</v>
      </c>
      <c r="C79" s="89">
        <f t="shared" si="4"/>
        <v>2.3798937921093826</v>
      </c>
    </row>
    <row r="80" spans="1:3" ht="12.75">
      <c r="A80" s="90">
        <f t="shared" si="5"/>
        <v>28</v>
      </c>
      <c r="B80" s="91">
        <f>B12</f>
        <v>212</v>
      </c>
      <c r="C80" s="89">
        <f t="shared" si="4"/>
        <v>2.394086771686588</v>
      </c>
    </row>
    <row r="81" spans="1:3" ht="12.75">
      <c r="A81" s="90">
        <f t="shared" si="5"/>
        <v>27</v>
      </c>
      <c r="B81" s="91">
        <f>B11</f>
        <v>300</v>
      </c>
      <c r="C81" s="89">
        <f t="shared" si="4"/>
        <v>2.246987366021456</v>
      </c>
    </row>
    <row r="82" spans="1:3" ht="12.75">
      <c r="A82" s="90">
        <f t="shared" si="5"/>
        <v>26</v>
      </c>
      <c r="B82" s="91">
        <f>B10</f>
        <v>425</v>
      </c>
      <c r="C82" s="89">
        <f t="shared" si="4"/>
        <v>-4.45902893279802</v>
      </c>
    </row>
    <row r="83" spans="1:3" ht="12.75">
      <c r="A83" s="90">
        <f t="shared" si="5"/>
        <v>25</v>
      </c>
      <c r="B83" s="91">
        <f>B9</f>
        <v>600</v>
      </c>
      <c r="C83" s="89" t="e">
        <f t="shared" si="4"/>
        <v>#REF!</v>
      </c>
    </row>
    <row r="84" spans="1:3" ht="12.75">
      <c r="A84" s="90">
        <f t="shared" si="5"/>
        <v>24</v>
      </c>
      <c r="B84" s="91" t="e">
        <f>#REF!</f>
        <v>#REF!</v>
      </c>
      <c r="C84" s="89" t="e">
        <f t="shared" si="4"/>
        <v>#REF!</v>
      </c>
    </row>
    <row r="85" spans="1:3" ht="12.75">
      <c r="A85" s="90">
        <f t="shared" si="5"/>
        <v>23</v>
      </c>
      <c r="B85" s="91" t="e">
        <f>#REF!</f>
        <v>#REF!</v>
      </c>
      <c r="C85" s="89" t="e">
        <f t="shared" si="4"/>
        <v>#REF!</v>
      </c>
    </row>
    <row r="86" spans="1:3" ht="12.75">
      <c r="A86" s="90">
        <f t="shared" si="5"/>
        <v>22</v>
      </c>
      <c r="B86" s="91" t="e">
        <f>#REF!</f>
        <v>#REF!</v>
      </c>
      <c r="C86" s="89" t="e">
        <f t="shared" si="4"/>
        <v>#REF!</v>
      </c>
    </row>
    <row r="87" spans="1:3" ht="12.75">
      <c r="A87" s="90">
        <f t="shared" si="5"/>
        <v>21</v>
      </c>
      <c r="B87" s="91" t="e">
        <f>#REF!</f>
        <v>#REF!</v>
      </c>
      <c r="C87" s="89" t="e">
        <f t="shared" si="4"/>
        <v>#REF!</v>
      </c>
    </row>
    <row r="88" spans="1:3" ht="12.75">
      <c r="A88" s="90">
        <f t="shared" si="5"/>
        <v>20</v>
      </c>
      <c r="B88" s="91" t="e">
        <f>#REF!</f>
        <v>#REF!</v>
      </c>
      <c r="C88" s="89" t="e">
        <f t="shared" si="4"/>
        <v>#REF!</v>
      </c>
    </row>
    <row r="89" spans="1:3" ht="12.75">
      <c r="A89" s="90">
        <f t="shared" si="5"/>
        <v>19</v>
      </c>
      <c r="B89" s="91" t="e">
        <f>#REF!</f>
        <v>#REF!</v>
      </c>
      <c r="C89" s="89" t="e">
        <f t="shared" si="4"/>
        <v>#REF!</v>
      </c>
    </row>
    <row r="90" spans="1:3" ht="12.75">
      <c r="A90" s="90">
        <f t="shared" si="5"/>
        <v>18</v>
      </c>
      <c r="B90" s="91" t="e">
        <f>#REF!</f>
        <v>#REF!</v>
      </c>
      <c r="C90" s="89" t="e">
        <f t="shared" si="4"/>
        <v>#REF!</v>
      </c>
    </row>
    <row r="91" spans="1:3" ht="12.75">
      <c r="A91" s="90">
        <f t="shared" si="5"/>
        <v>17</v>
      </c>
      <c r="B91" s="91" t="e">
        <f>#REF!</f>
        <v>#REF!</v>
      </c>
      <c r="C91" s="89" t="e">
        <f t="shared" si="4"/>
        <v>#REF!</v>
      </c>
    </row>
    <row r="92" spans="1:3" ht="12.75">
      <c r="A92" s="90">
        <f t="shared" si="5"/>
        <v>16</v>
      </c>
      <c r="B92" s="91" t="e">
        <f>#REF!</f>
        <v>#REF!</v>
      </c>
      <c r="C92" s="89" t="e">
        <f t="shared" si="4"/>
        <v>#REF!</v>
      </c>
    </row>
    <row r="93" spans="1:3" ht="12.75">
      <c r="A93" s="90">
        <f t="shared" si="5"/>
        <v>15</v>
      </c>
      <c r="B93" s="91" t="e">
        <f>#REF!</f>
        <v>#REF!</v>
      </c>
      <c r="C93" s="89" t="e">
        <f t="shared" si="4"/>
        <v>#REF!</v>
      </c>
    </row>
    <row r="94" spans="1:3" ht="12.75">
      <c r="A94" s="90">
        <f t="shared" si="5"/>
        <v>14</v>
      </c>
      <c r="B94" s="91" t="e">
        <f>#REF!</f>
        <v>#REF!</v>
      </c>
      <c r="C94" s="89" t="e">
        <f t="shared" si="4"/>
        <v>#REF!</v>
      </c>
    </row>
    <row r="95" spans="1:3" ht="12.75">
      <c r="A95" s="90">
        <f t="shared" si="5"/>
        <v>13</v>
      </c>
      <c r="B95" s="91" t="e">
        <f>#REF!</f>
        <v>#REF!</v>
      </c>
      <c r="C95" s="89" t="e">
        <f t="shared" si="4"/>
        <v>#REF!</v>
      </c>
    </row>
    <row r="96" spans="1:3" ht="12.75">
      <c r="A96" s="90">
        <f t="shared" si="5"/>
        <v>12</v>
      </c>
      <c r="B96" s="91" t="e">
        <f>#REF!</f>
        <v>#REF!</v>
      </c>
      <c r="C96" s="89" t="e">
        <f t="shared" si="4"/>
        <v>#REF!</v>
      </c>
    </row>
    <row r="97" spans="1:3" ht="12.75">
      <c r="A97" s="90">
        <f t="shared" si="5"/>
        <v>11</v>
      </c>
      <c r="B97" s="91" t="e">
        <f>#REF!</f>
        <v>#REF!</v>
      </c>
      <c r="C97" s="89" t="e">
        <f t="shared" si="4"/>
        <v>#REF!</v>
      </c>
    </row>
    <row r="98" spans="1:3" ht="12.75">
      <c r="A98" s="90">
        <f>A99+1</f>
        <v>10</v>
      </c>
      <c r="B98" s="91" t="e">
        <f>#REF!</f>
        <v>#REF!</v>
      </c>
      <c r="C98" s="89" t="e">
        <f t="shared" si="4"/>
        <v>#REF!</v>
      </c>
    </row>
    <row r="99" spans="1:3" ht="12.75">
      <c r="A99" s="90">
        <v>9</v>
      </c>
      <c r="B99" s="91" t="e">
        <f>#REF!</f>
        <v>#REF!</v>
      </c>
      <c r="C99" s="89" t="e">
        <f t="shared" si="4"/>
        <v>#REF!</v>
      </c>
    </row>
    <row r="100" spans="2:3" ht="12.75">
      <c r="B100" s="87"/>
      <c r="C100" s="87"/>
    </row>
    <row r="101" spans="2:3" ht="12.75">
      <c r="B101" s="87"/>
      <c r="C101" s="92">
        <f>VLOOKUP($B45,B46:C71,2)</f>
        <v>247.79170940110112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zoomScalePageLayoutView="0" workbookViewId="0" topLeftCell="A1">
      <selection activeCell="C12" sqref="C12"/>
    </sheetView>
  </sheetViews>
  <sheetFormatPr defaultColWidth="10.7109375" defaultRowHeight="12.75"/>
  <cols>
    <col min="1" max="6" width="11.7109375" style="53" customWidth="1"/>
    <col min="7" max="16384" width="10.7109375" style="53" customWidth="1"/>
  </cols>
  <sheetData>
    <row r="1" spans="1:6" s="1" customFormat="1" ht="12.75">
      <c r="A1" s="49"/>
      <c r="B1" s="50"/>
      <c r="C1" s="51" t="s">
        <v>59</v>
      </c>
      <c r="D1" s="52"/>
      <c r="E1" s="50"/>
      <c r="F1" s="53" t="s">
        <v>60</v>
      </c>
    </row>
    <row r="2" spans="1:6" s="1" customFormat="1" ht="12.75">
      <c r="A2" s="181" t="str">
        <f>'E-GRG-1'!H2</f>
        <v>Fraser</v>
      </c>
      <c r="B2" s="50"/>
      <c r="C2" s="51" t="s">
        <v>61</v>
      </c>
      <c r="D2" s="52"/>
      <c r="E2" s="50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112</v>
      </c>
      <c r="C4" s="2"/>
      <c r="D4" s="2" t="s">
        <v>63</v>
      </c>
      <c r="E4" s="3" t="s">
        <v>110</v>
      </c>
      <c r="F4" s="4"/>
    </row>
    <row r="5" spans="1:6" ht="9" customHeight="1" thickBot="1">
      <c r="A5" s="50"/>
      <c r="B5" s="50"/>
      <c r="C5" s="50"/>
      <c r="D5" s="50"/>
      <c r="E5" s="50"/>
      <c r="F5" s="50"/>
    </row>
    <row r="6" spans="1:8" ht="12.75">
      <c r="A6" s="54" t="s">
        <v>24</v>
      </c>
      <c r="B6" s="55"/>
      <c r="C6" s="56" t="s">
        <v>64</v>
      </c>
      <c r="D6" s="54" t="s">
        <v>65</v>
      </c>
      <c r="E6" s="55"/>
      <c r="F6" s="57" t="s">
        <v>66</v>
      </c>
      <c r="G6" s="50"/>
      <c r="H6" s="58" t="s">
        <v>67</v>
      </c>
    </row>
    <row r="7" spans="1:8" ht="13.5" thickBot="1">
      <c r="A7" s="59" t="s">
        <v>30</v>
      </c>
      <c r="B7" s="59" t="s">
        <v>68</v>
      </c>
      <c r="C7" s="59" t="s">
        <v>12</v>
      </c>
      <c r="D7" s="59" t="s">
        <v>69</v>
      </c>
      <c r="E7" s="59" t="s">
        <v>70</v>
      </c>
      <c r="F7" s="60" t="s">
        <v>70</v>
      </c>
      <c r="G7" s="50"/>
      <c r="H7" s="61">
        <v>80</v>
      </c>
    </row>
    <row r="8" spans="1:7" ht="7.5" customHeight="1">
      <c r="A8" s="62"/>
      <c r="B8" s="62"/>
      <c r="C8" s="62"/>
      <c r="D8" s="62"/>
      <c r="E8" s="62"/>
      <c r="F8" s="63"/>
      <c r="G8" s="50"/>
    </row>
    <row r="9" spans="1:7" ht="12.75">
      <c r="A9" s="64">
        <v>28</v>
      </c>
      <c r="B9" s="64">
        <v>600</v>
      </c>
      <c r="C9" s="201">
        <v>0</v>
      </c>
      <c r="D9" s="65">
        <f>C9/C20*100</f>
        <v>0</v>
      </c>
      <c r="E9" s="65">
        <f>D9</f>
        <v>0</v>
      </c>
      <c r="F9" s="66">
        <f aca="true" t="shared" si="0" ref="F9:F19">100-E9</f>
        <v>100</v>
      </c>
      <c r="G9" s="67"/>
    </row>
    <row r="10" spans="1:7" ht="12.75">
      <c r="A10" s="64">
        <v>35</v>
      </c>
      <c r="B10" s="64">
        <v>425</v>
      </c>
      <c r="C10" s="201">
        <v>0</v>
      </c>
      <c r="D10" s="65">
        <f>C10/C20*100</f>
        <v>0</v>
      </c>
      <c r="E10" s="65">
        <f aca="true" t="shared" si="1" ref="E10:E19">E9+D10</f>
        <v>0</v>
      </c>
      <c r="F10" s="66">
        <f t="shared" si="0"/>
        <v>100</v>
      </c>
      <c r="G10" s="67"/>
    </row>
    <row r="11" spans="1:7" ht="12.75">
      <c r="A11" s="64">
        <v>48</v>
      </c>
      <c r="B11" s="64">
        <v>300</v>
      </c>
      <c r="C11" s="201">
        <v>10.3</v>
      </c>
      <c r="D11" s="65">
        <f>C11/C20*100</f>
        <v>3.3301002263174917</v>
      </c>
      <c r="E11" s="65">
        <f t="shared" si="1"/>
        <v>3.3301002263174917</v>
      </c>
      <c r="F11" s="66">
        <f t="shared" si="0"/>
        <v>96.6698997736825</v>
      </c>
      <c r="G11" s="67"/>
    </row>
    <row r="12" spans="1:7" ht="12.75">
      <c r="A12" s="64">
        <v>65</v>
      </c>
      <c r="B12" s="64">
        <v>212</v>
      </c>
      <c r="C12" s="201">
        <v>43.5</v>
      </c>
      <c r="D12" s="65">
        <f>C12/C20*100</f>
        <v>14.064015518913674</v>
      </c>
      <c r="E12" s="65">
        <f t="shared" si="1"/>
        <v>17.394115745231165</v>
      </c>
      <c r="F12" s="66">
        <f t="shared" si="0"/>
        <v>82.60588425476884</v>
      </c>
      <c r="G12" s="67"/>
    </row>
    <row r="13" spans="1:7" ht="12.75">
      <c r="A13" s="64">
        <v>100</v>
      </c>
      <c r="B13" s="64">
        <v>150</v>
      </c>
      <c r="C13" s="201">
        <v>62.8</v>
      </c>
      <c r="D13" s="65">
        <f>C13/C20*100</f>
        <v>20.303912059489168</v>
      </c>
      <c r="E13" s="65">
        <f t="shared" si="1"/>
        <v>37.69802780472033</v>
      </c>
      <c r="F13" s="66">
        <f t="shared" si="0"/>
        <v>62.30197219527967</v>
      </c>
      <c r="G13" s="67"/>
    </row>
    <row r="14" spans="1:9" ht="12.75">
      <c r="A14" s="64">
        <v>150</v>
      </c>
      <c r="B14" s="64">
        <v>106</v>
      </c>
      <c r="C14" s="201">
        <v>52.6</v>
      </c>
      <c r="D14" s="65">
        <f>C14/C20*100</f>
        <v>17.006142903330097</v>
      </c>
      <c r="E14" s="65">
        <f t="shared" si="1"/>
        <v>54.70417070805043</v>
      </c>
      <c r="F14" s="66">
        <f t="shared" si="0"/>
        <v>45.29582929194957</v>
      </c>
      <c r="G14" s="67"/>
      <c r="I14" s="452"/>
    </row>
    <row r="15" spans="1:7" ht="12.75">
      <c r="A15" s="64">
        <v>200</v>
      </c>
      <c r="B15" s="64">
        <v>75</v>
      </c>
      <c r="C15" s="201">
        <v>40.9</v>
      </c>
      <c r="D15" s="65">
        <f>C15/C20*100</f>
        <v>13.223407694794698</v>
      </c>
      <c r="E15" s="65">
        <f t="shared" si="1"/>
        <v>67.92757840284513</v>
      </c>
      <c r="F15" s="66">
        <f t="shared" si="0"/>
        <v>32.07242159715487</v>
      </c>
      <c r="G15" s="67"/>
    </row>
    <row r="16" spans="1:7" ht="12.75">
      <c r="A16" s="64">
        <v>270</v>
      </c>
      <c r="B16" s="64">
        <v>53</v>
      </c>
      <c r="C16" s="201">
        <v>27.3</v>
      </c>
      <c r="D16" s="65">
        <f>C16/C20*100</f>
        <v>8.826382153249272</v>
      </c>
      <c r="E16" s="65">
        <f t="shared" si="1"/>
        <v>76.7539605560944</v>
      </c>
      <c r="F16" s="66">
        <f t="shared" si="0"/>
        <v>23.2460394439056</v>
      </c>
      <c r="G16" s="67"/>
    </row>
    <row r="17" spans="1:7" ht="12.75">
      <c r="A17" s="64">
        <v>400</v>
      </c>
      <c r="B17" s="64">
        <v>38</v>
      </c>
      <c r="C17" s="201">
        <v>20.3</v>
      </c>
      <c r="D17" s="65">
        <f>C17/C20*100</f>
        <v>6.563207242159716</v>
      </c>
      <c r="E17" s="65">
        <f t="shared" si="1"/>
        <v>83.31716779825412</v>
      </c>
      <c r="F17" s="66">
        <f t="shared" si="0"/>
        <v>16.68283220174588</v>
      </c>
      <c r="G17" s="67"/>
    </row>
    <row r="18" spans="1:7" ht="12.75">
      <c r="A18" s="64">
        <v>500</v>
      </c>
      <c r="B18" s="64">
        <v>25</v>
      </c>
      <c r="C18" s="201">
        <v>12.7</v>
      </c>
      <c r="D18" s="65">
        <f>C18/C20*100</f>
        <v>4.106045910119625</v>
      </c>
      <c r="E18" s="65">
        <f t="shared" si="1"/>
        <v>87.42321370837374</v>
      </c>
      <c r="F18" s="66">
        <f t="shared" si="0"/>
        <v>12.576786291626263</v>
      </c>
      <c r="G18" s="67"/>
    </row>
    <row r="19" spans="1:7" ht="12.75">
      <c r="A19" s="64" t="s">
        <v>71</v>
      </c>
      <c r="B19" s="64">
        <f>-B18</f>
        <v>-25</v>
      </c>
      <c r="C19" s="65">
        <v>38.9</v>
      </c>
      <c r="D19" s="65">
        <f>C19/C20*100</f>
        <v>12.576786291626252</v>
      </c>
      <c r="E19" s="65">
        <f t="shared" si="1"/>
        <v>99.99999999999999</v>
      </c>
      <c r="F19" s="66">
        <f t="shared" si="0"/>
        <v>0</v>
      </c>
      <c r="G19" s="67"/>
    </row>
    <row r="20" spans="1:7" ht="12.75">
      <c r="A20" s="68" t="s">
        <v>36</v>
      </c>
      <c r="B20" s="68" t="s">
        <v>72</v>
      </c>
      <c r="C20" s="69">
        <v>309.3</v>
      </c>
      <c r="D20" s="65">
        <f>SUM(D9:D19)</f>
        <v>99.99999999999999</v>
      </c>
      <c r="E20" s="68" t="s">
        <v>72</v>
      </c>
      <c r="F20" s="70" t="s">
        <v>72</v>
      </c>
      <c r="G20" s="50"/>
    </row>
    <row r="21" spans="1:6" ht="12.75">
      <c r="A21" s="71" t="str">
        <f>"K"&amp;H7</f>
        <v>K80</v>
      </c>
      <c r="B21" s="72">
        <f>C101</f>
        <v>203.8277101757472</v>
      </c>
      <c r="C21" s="73"/>
      <c r="D21" s="74"/>
      <c r="E21" s="73"/>
      <c r="F21" s="75"/>
    </row>
    <row r="22" spans="1:6" ht="12.75">
      <c r="A22" s="76"/>
      <c r="B22" s="77"/>
      <c r="C22" s="78"/>
      <c r="D22" s="79"/>
      <c r="E22" s="78"/>
      <c r="F22" s="78"/>
    </row>
    <row r="23" spans="1:6" ht="12.75">
      <c r="A23" s="76"/>
      <c r="B23" s="77"/>
      <c r="C23" s="78"/>
      <c r="D23" s="79"/>
      <c r="E23" s="78"/>
      <c r="F23" s="78"/>
    </row>
    <row r="24" spans="1:6" ht="12.75">
      <c r="A24" s="76"/>
      <c r="B24" s="77"/>
      <c r="C24" s="78"/>
      <c r="D24" s="79"/>
      <c r="E24" s="78"/>
      <c r="F24" s="78"/>
    </row>
    <row r="25" ht="7.5" customHeight="1"/>
    <row r="29" spans="8:9" ht="12.75">
      <c r="H29" s="80" t="s">
        <v>73</v>
      </c>
      <c r="I29" s="81"/>
    </row>
    <row r="30" spans="8:9" ht="12.75">
      <c r="H30" s="82">
        <v>10</v>
      </c>
      <c r="I30" s="83">
        <f>H7</f>
        <v>80</v>
      </c>
    </row>
    <row r="31" spans="8:9" ht="12.75">
      <c r="H31" s="83">
        <f>B21</f>
        <v>203.8277101757472</v>
      </c>
      <c r="I31" s="82">
        <f>I30</f>
        <v>80</v>
      </c>
    </row>
    <row r="32" spans="8:9" ht="12.75">
      <c r="H32" s="83">
        <f>H31</f>
        <v>203.8277101757472</v>
      </c>
      <c r="I32" s="82">
        <v>0</v>
      </c>
    </row>
    <row r="33" spans="8:9" ht="12.75">
      <c r="H33" s="84"/>
      <c r="I33" s="84"/>
    </row>
    <row r="34" spans="8:9" ht="12.75">
      <c r="H34" s="85" t="str">
        <f>A21&amp;" = "&amp;ROUND(B21,0)&amp;" µm"</f>
        <v>K80 = 204 µm</v>
      </c>
      <c r="I34" s="84"/>
    </row>
    <row r="36" ht="12.75"/>
    <row r="37" ht="12.75"/>
    <row r="38" ht="12.75"/>
    <row r="45" spans="2:3" ht="12.75">
      <c r="B45" s="86">
        <f>H7</f>
        <v>80</v>
      </c>
      <c r="C45" s="87" t="s">
        <v>74</v>
      </c>
    </row>
    <row r="46" spans="1:3" ht="12.75">
      <c r="A46" s="53">
        <v>34</v>
      </c>
      <c r="B46" s="88">
        <f>F$18</f>
        <v>12.576786291626263</v>
      </c>
      <c r="C46" s="89">
        <f>10^C74</f>
        <v>387.9452657132951</v>
      </c>
    </row>
    <row r="47" spans="1:3" ht="12.75">
      <c r="A47" s="53">
        <f>A46-1</f>
        <v>33</v>
      </c>
      <c r="B47" s="88">
        <f>F$17</f>
        <v>16.68283220174588</v>
      </c>
      <c r="C47" s="89">
        <f aca="true" t="shared" si="2" ref="C47:C71">10^C75</f>
        <v>183.04410926661902</v>
      </c>
    </row>
    <row r="48" spans="1:3" ht="12.75">
      <c r="A48" s="53">
        <f aca="true" t="shared" si="3" ref="A48:A62">A47-1</f>
        <v>32</v>
      </c>
      <c r="B48" s="88">
        <f>F$16</f>
        <v>23.2460394439056</v>
      </c>
      <c r="C48" s="89">
        <f t="shared" si="2"/>
        <v>201.03189160486073</v>
      </c>
    </row>
    <row r="49" spans="1:3" ht="12.75">
      <c r="A49" s="53">
        <f t="shared" si="3"/>
        <v>31</v>
      </c>
      <c r="B49" s="88">
        <f>F$15</f>
        <v>32.07242159715487</v>
      </c>
      <c r="C49" s="89">
        <f t="shared" si="2"/>
        <v>187.43980760079256</v>
      </c>
    </row>
    <row r="50" spans="1:3" ht="12.75">
      <c r="A50" s="53">
        <f t="shared" si="3"/>
        <v>30</v>
      </c>
      <c r="B50" s="88">
        <f>F$14</f>
        <v>45.29582929194957</v>
      </c>
      <c r="C50" s="89">
        <f t="shared" si="2"/>
        <v>196.95170777282004</v>
      </c>
    </row>
    <row r="51" spans="1:3" ht="12.75">
      <c r="A51" s="53">
        <f t="shared" si="3"/>
        <v>29</v>
      </c>
      <c r="B51" s="88">
        <f>F$13</f>
        <v>62.30197219527967</v>
      </c>
      <c r="C51" s="89">
        <f t="shared" si="2"/>
        <v>203.8277101757472</v>
      </c>
    </row>
    <row r="52" spans="1:3" ht="12.75">
      <c r="A52" s="53">
        <f t="shared" si="3"/>
        <v>28</v>
      </c>
      <c r="B52" s="88">
        <f>F$12</f>
        <v>82.60588425476884</v>
      </c>
      <c r="C52" s="89">
        <f t="shared" si="2"/>
        <v>197.51209960375374</v>
      </c>
    </row>
    <row r="53" spans="1:3" ht="12.75">
      <c r="A53" s="53">
        <f t="shared" si="3"/>
        <v>27</v>
      </c>
      <c r="B53" s="88">
        <f>F$11</f>
        <v>96.6698997736825</v>
      </c>
      <c r="C53" s="89">
        <f t="shared" si="2"/>
        <v>42.82980248854312</v>
      </c>
    </row>
    <row r="54" spans="1:3" ht="12.75">
      <c r="A54" s="53">
        <f t="shared" si="3"/>
        <v>26</v>
      </c>
      <c r="B54" s="88">
        <f>F$10</f>
        <v>100</v>
      </c>
      <c r="C54" s="89" t="e">
        <f t="shared" si="2"/>
        <v>#DIV/0!</v>
      </c>
    </row>
    <row r="55" spans="1:3" ht="12.75">
      <c r="A55" s="53">
        <f t="shared" si="3"/>
        <v>25</v>
      </c>
      <c r="B55" s="88">
        <f>F$9</f>
        <v>100</v>
      </c>
      <c r="C55" s="89" t="e">
        <f t="shared" si="2"/>
        <v>#REF!</v>
      </c>
    </row>
    <row r="56" spans="1:3" ht="12.75">
      <c r="A56" s="53">
        <f t="shared" si="3"/>
        <v>24</v>
      </c>
      <c r="B56" s="88" t="e">
        <f>#REF!</f>
        <v>#REF!</v>
      </c>
      <c r="C56" s="89" t="e">
        <f t="shared" si="2"/>
        <v>#REF!</v>
      </c>
    </row>
    <row r="57" spans="1:3" ht="12.75">
      <c r="A57" s="53">
        <f t="shared" si="3"/>
        <v>23</v>
      </c>
      <c r="B57" s="88" t="e">
        <f>#REF!</f>
        <v>#REF!</v>
      </c>
      <c r="C57" s="89" t="e">
        <f>10^C85</f>
        <v>#REF!</v>
      </c>
    </row>
    <row r="58" spans="1:3" ht="12.75">
      <c r="A58" s="53">
        <f t="shared" si="3"/>
        <v>22</v>
      </c>
      <c r="B58" s="88" t="e">
        <f>#REF!</f>
        <v>#REF!</v>
      </c>
      <c r="C58" s="89" t="e">
        <f t="shared" si="2"/>
        <v>#REF!</v>
      </c>
    </row>
    <row r="59" spans="1:3" ht="12.75">
      <c r="A59" s="53">
        <f t="shared" si="3"/>
        <v>21</v>
      </c>
      <c r="B59" s="88" t="e">
        <f>#REF!</f>
        <v>#REF!</v>
      </c>
      <c r="C59" s="89" t="e">
        <f t="shared" si="2"/>
        <v>#REF!</v>
      </c>
    </row>
    <row r="60" spans="1:3" ht="12.75">
      <c r="A60" s="53">
        <f t="shared" si="3"/>
        <v>20</v>
      </c>
      <c r="B60" s="88" t="e">
        <f>#REF!</f>
        <v>#REF!</v>
      </c>
      <c r="C60" s="89" t="e">
        <f t="shared" si="2"/>
        <v>#REF!</v>
      </c>
    </row>
    <row r="61" spans="1:3" ht="12.75">
      <c r="A61" s="53">
        <f t="shared" si="3"/>
        <v>19</v>
      </c>
      <c r="B61" s="88" t="e">
        <f>#REF!</f>
        <v>#REF!</v>
      </c>
      <c r="C61" s="89" t="e">
        <f t="shared" si="2"/>
        <v>#REF!</v>
      </c>
    </row>
    <row r="62" spans="1:3" ht="12.75">
      <c r="A62" s="53">
        <f t="shared" si="3"/>
        <v>18</v>
      </c>
      <c r="B62" s="88" t="e">
        <f>#REF!</f>
        <v>#REF!</v>
      </c>
      <c r="C62" s="89" t="e">
        <f t="shared" si="2"/>
        <v>#REF!</v>
      </c>
    </row>
    <row r="63" spans="1:3" ht="12.75">
      <c r="A63" s="53">
        <f aca="true" t="shared" si="4" ref="A63:A71">A62-1</f>
        <v>17</v>
      </c>
      <c r="B63" s="88" t="e">
        <f>#REF!</f>
        <v>#REF!</v>
      </c>
      <c r="C63" s="89" t="e">
        <f t="shared" si="2"/>
        <v>#REF!</v>
      </c>
    </row>
    <row r="64" spans="1:3" ht="12.75">
      <c r="A64" s="53">
        <f t="shared" si="4"/>
        <v>16</v>
      </c>
      <c r="B64" s="88" t="e">
        <f>#REF!</f>
        <v>#REF!</v>
      </c>
      <c r="C64" s="89" t="e">
        <f t="shared" si="2"/>
        <v>#REF!</v>
      </c>
    </row>
    <row r="65" spans="1:3" ht="12.75">
      <c r="A65" s="53">
        <f t="shared" si="4"/>
        <v>15</v>
      </c>
      <c r="B65" s="88" t="e">
        <f>#REF!</f>
        <v>#REF!</v>
      </c>
      <c r="C65" s="89" t="e">
        <f t="shared" si="2"/>
        <v>#REF!</v>
      </c>
    </row>
    <row r="66" spans="1:3" ht="12.75">
      <c r="A66" s="53">
        <f t="shared" si="4"/>
        <v>14</v>
      </c>
      <c r="B66" s="88" t="e">
        <f>#REF!</f>
        <v>#REF!</v>
      </c>
      <c r="C66" s="89" t="e">
        <f t="shared" si="2"/>
        <v>#REF!</v>
      </c>
    </row>
    <row r="67" spans="1:3" ht="12.75">
      <c r="A67" s="53">
        <f t="shared" si="4"/>
        <v>13</v>
      </c>
      <c r="B67" s="88" t="e">
        <f>#REF!</f>
        <v>#REF!</v>
      </c>
      <c r="C67" s="89" t="e">
        <f t="shared" si="2"/>
        <v>#REF!</v>
      </c>
    </row>
    <row r="68" spans="1:3" ht="12.75">
      <c r="A68" s="53">
        <f t="shared" si="4"/>
        <v>12</v>
      </c>
      <c r="B68" s="88" t="e">
        <f>#REF!</f>
        <v>#REF!</v>
      </c>
      <c r="C68" s="89" t="e">
        <f t="shared" si="2"/>
        <v>#REF!</v>
      </c>
    </row>
    <row r="69" spans="1:3" ht="12.75">
      <c r="A69" s="53">
        <f t="shared" si="4"/>
        <v>11</v>
      </c>
      <c r="B69" s="88" t="e">
        <f>#REF!</f>
        <v>#REF!</v>
      </c>
      <c r="C69" s="89" t="e">
        <f t="shared" si="2"/>
        <v>#REF!</v>
      </c>
    </row>
    <row r="70" spans="1:3" ht="12.75">
      <c r="A70" s="53">
        <f t="shared" si="4"/>
        <v>10</v>
      </c>
      <c r="B70" s="88" t="e">
        <f>#REF!</f>
        <v>#REF!</v>
      </c>
      <c r="C70" s="89" t="e">
        <f t="shared" si="2"/>
        <v>#REF!</v>
      </c>
    </row>
    <row r="71" spans="1:3" ht="12.75">
      <c r="A71" s="53">
        <f t="shared" si="4"/>
        <v>9</v>
      </c>
      <c r="B71" s="88" t="e">
        <f>#REF!</f>
        <v>#REF!</v>
      </c>
      <c r="C71" s="89" t="e">
        <f t="shared" si="2"/>
        <v>#REF!</v>
      </c>
    </row>
    <row r="72" spans="2:3" ht="12.75">
      <c r="B72" s="88"/>
      <c r="C72" s="87"/>
    </row>
    <row r="73" spans="2:3" ht="12.75">
      <c r="B73" s="86"/>
      <c r="C73" s="87"/>
    </row>
    <row r="74" spans="1:3" ht="12.75">
      <c r="A74" s="90">
        <f>A75+1</f>
        <v>34</v>
      </c>
      <c r="B74" s="91">
        <f>B18</f>
        <v>25</v>
      </c>
      <c r="C74" s="89">
        <f aca="true" t="shared" si="5" ref="C74:C84">(LOG(B$45)-LOG(B46))/(LOG(B47)-LOG(B46))*(LOG(B75)-LOG(B74))+LOG(B74)</f>
        <v>2.5887704563274774</v>
      </c>
    </row>
    <row r="75" spans="1:3" ht="12.75">
      <c r="A75" s="90">
        <f>A76+1</f>
        <v>33</v>
      </c>
      <c r="B75" s="91">
        <f>B17</f>
        <v>38</v>
      </c>
      <c r="C75" s="89">
        <f t="shared" si="5"/>
        <v>2.2625557569587835</v>
      </c>
    </row>
    <row r="76" spans="1:3" ht="12.75">
      <c r="A76" s="90">
        <f>A77+1</f>
        <v>32</v>
      </c>
      <c r="B76" s="91">
        <f>B16</f>
        <v>53</v>
      </c>
      <c r="C76" s="89">
        <f t="shared" si="5"/>
        <v>2.3032649591585264</v>
      </c>
    </row>
    <row r="77" spans="1:3" ht="12.75">
      <c r="A77" s="90">
        <f>A78+1</f>
        <v>31</v>
      </c>
      <c r="B77" s="91">
        <f>B15</f>
        <v>75</v>
      </c>
      <c r="C77" s="89">
        <f t="shared" si="5"/>
        <v>2.2728618298038175</v>
      </c>
    </row>
    <row r="78" spans="1:3" ht="12.75">
      <c r="A78" s="90">
        <f aca="true" t="shared" si="6" ref="A78:A97">A79+1</f>
        <v>30</v>
      </c>
      <c r="B78" s="91">
        <f>B14</f>
        <v>106</v>
      </c>
      <c r="C78" s="89">
        <f t="shared" si="5"/>
        <v>2.294359750938999</v>
      </c>
    </row>
    <row r="79" spans="1:3" ht="12.75">
      <c r="A79" s="90">
        <f t="shared" si="6"/>
        <v>29</v>
      </c>
      <c r="B79" s="91">
        <f>B13</f>
        <v>150</v>
      </c>
      <c r="C79" s="89">
        <f t="shared" si="5"/>
        <v>2.3092632255896994</v>
      </c>
    </row>
    <row r="80" spans="1:3" ht="12.75">
      <c r="A80" s="90">
        <f t="shared" si="6"/>
        <v>28</v>
      </c>
      <c r="B80" s="91">
        <f>B12</f>
        <v>212</v>
      </c>
      <c r="C80" s="89">
        <f t="shared" si="5"/>
        <v>2.2955937056849383</v>
      </c>
    </row>
    <row r="81" spans="1:3" ht="12.75">
      <c r="A81" s="90">
        <f t="shared" si="6"/>
        <v>27</v>
      </c>
      <c r="B81" s="91">
        <f>B11</f>
        <v>300</v>
      </c>
      <c r="C81" s="89">
        <f t="shared" si="5"/>
        <v>1.6317460716337016</v>
      </c>
    </row>
    <row r="82" spans="1:3" ht="12.75">
      <c r="A82" s="90">
        <f t="shared" si="6"/>
        <v>26</v>
      </c>
      <c r="B82" s="91">
        <f>B10</f>
        <v>425</v>
      </c>
      <c r="C82" s="89" t="e">
        <f t="shared" si="5"/>
        <v>#DIV/0!</v>
      </c>
    </row>
    <row r="83" spans="1:3" ht="12.75">
      <c r="A83" s="90">
        <f t="shared" si="6"/>
        <v>25</v>
      </c>
      <c r="B83" s="91">
        <f>B9</f>
        <v>600</v>
      </c>
      <c r="C83" s="89" t="e">
        <f t="shared" si="5"/>
        <v>#REF!</v>
      </c>
    </row>
    <row r="84" spans="1:3" ht="12.75">
      <c r="A84" s="90">
        <f t="shared" si="6"/>
        <v>24</v>
      </c>
      <c r="B84" s="91" t="e">
        <f>#REF!</f>
        <v>#REF!</v>
      </c>
      <c r="C84" s="89" t="e">
        <f t="shared" si="5"/>
        <v>#REF!</v>
      </c>
    </row>
    <row r="85" spans="1:3" ht="12.75">
      <c r="A85" s="90">
        <f t="shared" si="6"/>
        <v>23</v>
      </c>
      <c r="B85" s="91" t="e">
        <f>#REF!</f>
        <v>#REF!</v>
      </c>
      <c r="C85" s="89" t="e">
        <f aca="true" t="shared" si="7" ref="C85:C99">(LOG(B$45)-LOG(B57))/(LOG(B58)-LOG(B57))*(LOG(B86)-LOG(B85))+LOG(B85)</f>
        <v>#REF!</v>
      </c>
    </row>
    <row r="86" spans="1:3" ht="12.75">
      <c r="A86" s="90">
        <f t="shared" si="6"/>
        <v>22</v>
      </c>
      <c r="B86" s="91" t="e">
        <f>#REF!</f>
        <v>#REF!</v>
      </c>
      <c r="C86" s="89" t="e">
        <f t="shared" si="7"/>
        <v>#REF!</v>
      </c>
    </row>
    <row r="87" spans="1:3" ht="12.75">
      <c r="A87" s="90">
        <f t="shared" si="6"/>
        <v>21</v>
      </c>
      <c r="B87" s="91" t="e">
        <f>#REF!</f>
        <v>#REF!</v>
      </c>
      <c r="C87" s="89" t="e">
        <f t="shared" si="7"/>
        <v>#REF!</v>
      </c>
    </row>
    <row r="88" spans="1:3" ht="12.75">
      <c r="A88" s="90">
        <f t="shared" si="6"/>
        <v>20</v>
      </c>
      <c r="B88" s="91" t="e">
        <f>#REF!</f>
        <v>#REF!</v>
      </c>
      <c r="C88" s="89" t="e">
        <f t="shared" si="7"/>
        <v>#REF!</v>
      </c>
    </row>
    <row r="89" spans="1:3" ht="12.75">
      <c r="A89" s="90">
        <f t="shared" si="6"/>
        <v>19</v>
      </c>
      <c r="B89" s="91" t="e">
        <f>#REF!</f>
        <v>#REF!</v>
      </c>
      <c r="C89" s="89" t="e">
        <f t="shared" si="7"/>
        <v>#REF!</v>
      </c>
    </row>
    <row r="90" spans="1:3" ht="12.75">
      <c r="A90" s="90">
        <f t="shared" si="6"/>
        <v>18</v>
      </c>
      <c r="B90" s="91" t="e">
        <f>#REF!</f>
        <v>#REF!</v>
      </c>
      <c r="C90" s="89" t="e">
        <f t="shared" si="7"/>
        <v>#REF!</v>
      </c>
    </row>
    <row r="91" spans="1:3" ht="12.75">
      <c r="A91" s="90">
        <f t="shared" si="6"/>
        <v>17</v>
      </c>
      <c r="B91" s="91" t="e">
        <f>#REF!</f>
        <v>#REF!</v>
      </c>
      <c r="C91" s="89" t="e">
        <f t="shared" si="7"/>
        <v>#REF!</v>
      </c>
    </row>
    <row r="92" spans="1:3" ht="12.75">
      <c r="A92" s="90">
        <f t="shared" si="6"/>
        <v>16</v>
      </c>
      <c r="B92" s="91" t="e">
        <f>#REF!</f>
        <v>#REF!</v>
      </c>
      <c r="C92" s="89" t="e">
        <f t="shared" si="7"/>
        <v>#REF!</v>
      </c>
    </row>
    <row r="93" spans="1:3" ht="12.75">
      <c r="A93" s="90">
        <f t="shared" si="6"/>
        <v>15</v>
      </c>
      <c r="B93" s="91" t="e">
        <f>#REF!</f>
        <v>#REF!</v>
      </c>
      <c r="C93" s="89" t="e">
        <f t="shared" si="7"/>
        <v>#REF!</v>
      </c>
    </row>
    <row r="94" spans="1:3" ht="12.75">
      <c r="A94" s="90">
        <f t="shared" si="6"/>
        <v>14</v>
      </c>
      <c r="B94" s="91" t="e">
        <f>#REF!</f>
        <v>#REF!</v>
      </c>
      <c r="C94" s="89" t="e">
        <f t="shared" si="7"/>
        <v>#REF!</v>
      </c>
    </row>
    <row r="95" spans="1:3" ht="12.75">
      <c r="A95" s="90">
        <f t="shared" si="6"/>
        <v>13</v>
      </c>
      <c r="B95" s="91" t="e">
        <f>#REF!</f>
        <v>#REF!</v>
      </c>
      <c r="C95" s="89" t="e">
        <f t="shared" si="7"/>
        <v>#REF!</v>
      </c>
    </row>
    <row r="96" spans="1:3" ht="12.75">
      <c r="A96" s="90">
        <f t="shared" si="6"/>
        <v>12</v>
      </c>
      <c r="B96" s="91" t="e">
        <f>#REF!</f>
        <v>#REF!</v>
      </c>
      <c r="C96" s="89" t="e">
        <f t="shared" si="7"/>
        <v>#REF!</v>
      </c>
    </row>
    <row r="97" spans="1:3" ht="12.75">
      <c r="A97" s="90">
        <f t="shared" si="6"/>
        <v>11</v>
      </c>
      <c r="B97" s="91" t="e">
        <f>#REF!</f>
        <v>#REF!</v>
      </c>
      <c r="C97" s="89" t="e">
        <f t="shared" si="7"/>
        <v>#REF!</v>
      </c>
    </row>
    <row r="98" spans="1:3" ht="12.75">
      <c r="A98" s="90">
        <f>A99+1</f>
        <v>10</v>
      </c>
      <c r="B98" s="91" t="e">
        <f>#REF!</f>
        <v>#REF!</v>
      </c>
      <c r="C98" s="89" t="e">
        <f t="shared" si="7"/>
        <v>#REF!</v>
      </c>
    </row>
    <row r="99" spans="1:3" ht="12.75">
      <c r="A99" s="90">
        <v>9</v>
      </c>
      <c r="B99" s="91" t="e">
        <f>#REF!</f>
        <v>#REF!</v>
      </c>
      <c r="C99" s="89" t="e">
        <f t="shared" si="7"/>
        <v>#REF!</v>
      </c>
    </row>
    <row r="100" spans="2:3" ht="12.75">
      <c r="B100" s="87"/>
      <c r="C100" s="87"/>
    </row>
    <row r="101" spans="2:3" ht="12.75">
      <c r="B101" s="87"/>
      <c r="C101" s="92">
        <f>VLOOKUP($B45,B46:C71,2)</f>
        <v>203.8277101757472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zoomScalePageLayoutView="0" workbookViewId="0" topLeftCell="A1">
      <selection activeCell="J14" sqref="J14"/>
    </sheetView>
  </sheetViews>
  <sheetFormatPr defaultColWidth="10.7109375" defaultRowHeight="12.75"/>
  <cols>
    <col min="1" max="6" width="11.7109375" style="141" customWidth="1"/>
    <col min="7" max="16384" width="10.7109375" style="141" customWidth="1"/>
  </cols>
  <sheetData>
    <row r="1" spans="1:6" s="1" customFormat="1" ht="12.75">
      <c r="A1" s="137"/>
      <c r="B1" s="138"/>
      <c r="C1" s="139" t="s">
        <v>59</v>
      </c>
      <c r="D1" s="140"/>
      <c r="E1" s="138"/>
      <c r="F1" s="141" t="s">
        <v>60</v>
      </c>
    </row>
    <row r="2" spans="1:6" s="1" customFormat="1" ht="12.75">
      <c r="A2" s="181" t="str">
        <f>'E-GRG-1'!H2</f>
        <v>Fraser</v>
      </c>
      <c r="B2" s="138"/>
      <c r="C2" s="139" t="s">
        <v>61</v>
      </c>
      <c r="D2" s="140"/>
      <c r="E2" s="138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114</v>
      </c>
      <c r="C4" s="2"/>
      <c r="D4" s="2" t="s">
        <v>63</v>
      </c>
      <c r="E4" s="3" t="s">
        <v>110</v>
      </c>
      <c r="F4" s="4"/>
    </row>
    <row r="5" spans="1:6" ht="9" customHeight="1" thickBot="1">
      <c r="A5" s="138"/>
      <c r="B5" s="138"/>
      <c r="C5" s="138"/>
      <c r="D5" s="138"/>
      <c r="E5" s="138"/>
      <c r="F5" s="138"/>
    </row>
    <row r="6" spans="1:8" ht="12.75">
      <c r="A6" s="142" t="s">
        <v>24</v>
      </c>
      <c r="B6" s="143"/>
      <c r="C6" s="144" t="s">
        <v>64</v>
      </c>
      <c r="D6" s="142" t="s">
        <v>65</v>
      </c>
      <c r="E6" s="143"/>
      <c r="F6" s="145" t="s">
        <v>66</v>
      </c>
      <c r="G6" s="138"/>
      <c r="H6" s="146" t="s">
        <v>67</v>
      </c>
    </row>
    <row r="7" spans="1:8" ht="13.5" thickBot="1">
      <c r="A7" s="147" t="s">
        <v>30</v>
      </c>
      <c r="B7" s="147" t="s">
        <v>68</v>
      </c>
      <c r="C7" s="147" t="s">
        <v>12</v>
      </c>
      <c r="D7" s="147" t="s">
        <v>69</v>
      </c>
      <c r="E7" s="147" t="s">
        <v>70</v>
      </c>
      <c r="F7" s="148" t="s">
        <v>70</v>
      </c>
      <c r="G7" s="138"/>
      <c r="H7" s="149">
        <v>80</v>
      </c>
    </row>
    <row r="8" spans="1:7" ht="7.5" customHeight="1">
      <c r="A8" s="150"/>
      <c r="B8" s="150"/>
      <c r="C8" s="150"/>
      <c r="D8" s="150"/>
      <c r="E8" s="150"/>
      <c r="F8" s="151"/>
      <c r="G8" s="138"/>
    </row>
    <row r="9" spans="1:7" ht="12.75">
      <c r="A9" s="152">
        <v>28</v>
      </c>
      <c r="B9" s="152">
        <v>600</v>
      </c>
      <c r="C9" s="201">
        <v>0</v>
      </c>
      <c r="D9" s="153">
        <f>C9/C20*100</f>
        <v>0</v>
      </c>
      <c r="E9" s="153">
        <f>D9</f>
        <v>0</v>
      </c>
      <c r="F9" s="154">
        <f aca="true" t="shared" si="0" ref="F9:F19">100-E9</f>
        <v>100</v>
      </c>
      <c r="G9" s="155"/>
    </row>
    <row r="10" spans="1:7" ht="12.75">
      <c r="A10" s="152">
        <v>35</v>
      </c>
      <c r="B10" s="152">
        <v>425</v>
      </c>
      <c r="C10" s="201">
        <v>0</v>
      </c>
      <c r="D10" s="153">
        <f>C10/C20*100</f>
        <v>0</v>
      </c>
      <c r="E10" s="153">
        <f aca="true" t="shared" si="1" ref="E10:E19">E9+D10</f>
        <v>0</v>
      </c>
      <c r="F10" s="154">
        <f t="shared" si="0"/>
        <v>100</v>
      </c>
      <c r="G10" s="155"/>
    </row>
    <row r="11" spans="1:7" ht="12.75">
      <c r="A11" s="152">
        <v>48</v>
      </c>
      <c r="B11" s="152">
        <v>300</v>
      </c>
      <c r="C11" s="201">
        <v>0</v>
      </c>
      <c r="D11" s="153">
        <f>C11/C20*100</f>
        <v>0</v>
      </c>
      <c r="E11" s="153">
        <f t="shared" si="1"/>
        <v>0</v>
      </c>
      <c r="F11" s="154">
        <f t="shared" si="0"/>
        <v>100</v>
      </c>
      <c r="G11" s="155"/>
    </row>
    <row r="12" spans="1:7" ht="12.75">
      <c r="A12" s="152">
        <v>65</v>
      </c>
      <c r="B12" s="152">
        <v>212</v>
      </c>
      <c r="C12" s="201">
        <v>2</v>
      </c>
      <c r="D12" s="153">
        <f>C12/C20*100</f>
        <v>1.4641288433382138</v>
      </c>
      <c r="E12" s="153">
        <f t="shared" si="1"/>
        <v>1.4641288433382138</v>
      </c>
      <c r="F12" s="154">
        <f t="shared" si="0"/>
        <v>98.53587115666178</v>
      </c>
      <c r="G12" s="155"/>
    </row>
    <row r="13" spans="1:7" ht="12.75">
      <c r="A13" s="152">
        <v>100</v>
      </c>
      <c r="B13" s="152">
        <v>150</v>
      </c>
      <c r="C13" s="201">
        <v>12.8</v>
      </c>
      <c r="D13" s="153">
        <f>C13/C20*100</f>
        <v>9.370424597364568</v>
      </c>
      <c r="E13" s="153">
        <f t="shared" si="1"/>
        <v>10.834553440702782</v>
      </c>
      <c r="F13" s="154">
        <f t="shared" si="0"/>
        <v>89.16544655929722</v>
      </c>
      <c r="G13" s="155"/>
    </row>
    <row r="14" spans="1:10" ht="12.75">
      <c r="A14" s="152">
        <v>150</v>
      </c>
      <c r="B14" s="152">
        <v>106</v>
      </c>
      <c r="C14" s="201">
        <v>26.6</v>
      </c>
      <c r="D14" s="153">
        <f>C14/C20*100</f>
        <v>19.472913616398245</v>
      </c>
      <c r="E14" s="153">
        <f t="shared" si="1"/>
        <v>30.30746705710103</v>
      </c>
      <c r="F14" s="154">
        <f t="shared" si="0"/>
        <v>69.69253294289896</v>
      </c>
      <c r="G14" s="155"/>
      <c r="J14" s="183"/>
    </row>
    <row r="15" spans="1:7" ht="12.75">
      <c r="A15" s="152">
        <v>200</v>
      </c>
      <c r="B15" s="152">
        <v>75</v>
      </c>
      <c r="C15" s="201">
        <v>25.7</v>
      </c>
      <c r="D15" s="153">
        <f>C15/C20*100</f>
        <v>18.814055636896047</v>
      </c>
      <c r="E15" s="153">
        <f t="shared" si="1"/>
        <v>49.12152269399708</v>
      </c>
      <c r="F15" s="154">
        <f t="shared" si="0"/>
        <v>50.87847730600292</v>
      </c>
      <c r="G15" s="155"/>
    </row>
    <row r="16" spans="1:7" ht="12.75">
      <c r="A16" s="152">
        <v>270</v>
      </c>
      <c r="B16" s="152">
        <v>53</v>
      </c>
      <c r="C16" s="201">
        <v>18.4</v>
      </c>
      <c r="D16" s="153">
        <f>C16/C20*100</f>
        <v>13.469985358711567</v>
      </c>
      <c r="E16" s="153">
        <f t="shared" si="1"/>
        <v>62.59150805270865</v>
      </c>
      <c r="F16" s="154">
        <f t="shared" si="0"/>
        <v>37.40849194729135</v>
      </c>
      <c r="G16" s="155"/>
    </row>
    <row r="17" spans="1:7" ht="12.75">
      <c r="A17" s="152">
        <v>400</v>
      </c>
      <c r="B17" s="152">
        <v>38</v>
      </c>
      <c r="C17" s="201">
        <v>13.6</v>
      </c>
      <c r="D17" s="153">
        <f>C17/C20*100</f>
        <v>9.956076134699854</v>
      </c>
      <c r="E17" s="153">
        <f t="shared" si="1"/>
        <v>72.5475841874085</v>
      </c>
      <c r="F17" s="154">
        <f t="shared" si="0"/>
        <v>27.452415812591497</v>
      </c>
      <c r="G17" s="155"/>
    </row>
    <row r="18" spans="1:7" ht="12.75">
      <c r="A18" s="152">
        <v>500</v>
      </c>
      <c r="B18" s="152">
        <v>25</v>
      </c>
      <c r="C18" s="201">
        <v>8.8</v>
      </c>
      <c r="D18" s="153">
        <f>C18/C20*100</f>
        <v>6.44216691068814</v>
      </c>
      <c r="E18" s="153">
        <f t="shared" si="1"/>
        <v>78.98975109809665</v>
      </c>
      <c r="F18" s="154">
        <f t="shared" si="0"/>
        <v>21.010248901903353</v>
      </c>
      <c r="G18" s="155"/>
    </row>
    <row r="19" spans="1:7" ht="12.75">
      <c r="A19" s="152" t="s">
        <v>71</v>
      </c>
      <c r="B19" s="152">
        <f>-B18</f>
        <v>-25</v>
      </c>
      <c r="C19" s="153">
        <f>C20-SUM(C9:C18)</f>
        <v>28.700000000000003</v>
      </c>
      <c r="D19" s="153">
        <f>C19/C20*100</f>
        <v>21.01024890190337</v>
      </c>
      <c r="E19" s="153">
        <f t="shared" si="1"/>
        <v>100.00000000000001</v>
      </c>
      <c r="F19" s="154">
        <f t="shared" si="0"/>
        <v>0</v>
      </c>
      <c r="G19" s="155"/>
    </row>
    <row r="20" spans="1:7" ht="12.75">
      <c r="A20" s="156" t="s">
        <v>36</v>
      </c>
      <c r="B20" s="156" t="s">
        <v>72</v>
      </c>
      <c r="C20" s="157">
        <v>136.6</v>
      </c>
      <c r="D20" s="153">
        <f>SUM(D9:D19)</f>
        <v>100.00000000000001</v>
      </c>
      <c r="E20" s="156" t="s">
        <v>72</v>
      </c>
      <c r="F20" s="158" t="s">
        <v>72</v>
      </c>
      <c r="G20" s="138"/>
    </row>
    <row r="21" spans="1:6" ht="12.75">
      <c r="A21" s="159" t="str">
        <f>"K"&amp;H7</f>
        <v>K80</v>
      </c>
      <c r="B21" s="160">
        <f>C101</f>
        <v>128.74032831782205</v>
      </c>
      <c r="C21" s="161"/>
      <c r="D21" s="162"/>
      <c r="E21" s="161"/>
      <c r="F21" s="163"/>
    </row>
    <row r="22" spans="1:6" ht="12.75">
      <c r="A22" s="164"/>
      <c r="B22" s="165"/>
      <c r="C22" s="166"/>
      <c r="D22" s="167"/>
      <c r="E22" s="166"/>
      <c r="F22" s="166"/>
    </row>
    <row r="23" spans="1:6" ht="12.75">
      <c r="A23" s="164"/>
      <c r="B23" s="165"/>
      <c r="C23" s="166"/>
      <c r="D23" s="167"/>
      <c r="E23" s="166"/>
      <c r="F23" s="166"/>
    </row>
    <row r="24" spans="1:6" ht="12.75">
      <c r="A24" s="164"/>
      <c r="B24" s="165"/>
      <c r="C24" s="166"/>
      <c r="D24" s="167"/>
      <c r="E24" s="166"/>
      <c r="F24" s="166"/>
    </row>
    <row r="25" ht="7.5" customHeight="1"/>
    <row r="29" spans="8:9" ht="12.75">
      <c r="H29" s="168" t="s">
        <v>73</v>
      </c>
      <c r="I29" s="169"/>
    </row>
    <row r="30" spans="8:9" ht="12.75">
      <c r="H30" s="170">
        <v>10</v>
      </c>
      <c r="I30" s="171">
        <f>H7</f>
        <v>80</v>
      </c>
    </row>
    <row r="31" spans="8:9" ht="12.75">
      <c r="H31" s="171">
        <f>B21</f>
        <v>128.74032831782205</v>
      </c>
      <c r="I31" s="170">
        <f>I30</f>
        <v>80</v>
      </c>
    </row>
    <row r="32" spans="8:9" ht="12.75">
      <c r="H32" s="171">
        <f>H31</f>
        <v>128.74032831782205</v>
      </c>
      <c r="I32" s="170">
        <v>0</v>
      </c>
    </row>
    <row r="33" spans="8:9" ht="12.75">
      <c r="H33" s="172"/>
      <c r="I33" s="172"/>
    </row>
    <row r="34" spans="8:9" ht="12.75">
      <c r="H34" s="173" t="str">
        <f>A21&amp;" = "&amp;ROUND(B21,0)&amp;" µm"</f>
        <v>K80 = 129 µm</v>
      </c>
      <c r="I34" s="172"/>
    </row>
    <row r="36" ht="12.75"/>
    <row r="37" ht="12.75"/>
    <row r="38" ht="12.75"/>
    <row r="45" spans="2:3" ht="12.75">
      <c r="B45" s="174">
        <f>H7</f>
        <v>80</v>
      </c>
      <c r="C45" s="175" t="s">
        <v>74</v>
      </c>
    </row>
    <row r="46" spans="1:3" ht="12.75">
      <c r="A46" s="141">
        <v>34</v>
      </c>
      <c r="B46" s="176">
        <f>F$18</f>
        <v>21.010248901903353</v>
      </c>
      <c r="C46" s="177">
        <f>10^C74</f>
        <v>202.77764415028352</v>
      </c>
    </row>
    <row r="47" spans="1:3" ht="12.75">
      <c r="A47" s="141">
        <f>A46-1</f>
        <v>33</v>
      </c>
      <c r="B47" s="176">
        <f>F$17</f>
        <v>27.452415812591497</v>
      </c>
      <c r="C47" s="177">
        <f aca="true" t="shared" si="2" ref="C47:C71">10^C75</f>
        <v>120.00854352395064</v>
      </c>
    </row>
    <row r="48" spans="1:3" ht="12.75">
      <c r="A48" s="141">
        <f aca="true" t="shared" si="3" ref="A48:A71">A47-1</f>
        <v>32</v>
      </c>
      <c r="B48" s="176">
        <f>F$16</f>
        <v>37.40849194729135</v>
      </c>
      <c r="C48" s="177">
        <f t="shared" si="2"/>
        <v>125.0145916398341</v>
      </c>
    </row>
    <row r="49" spans="1:3" ht="12.75">
      <c r="A49" s="141">
        <f t="shared" si="3"/>
        <v>31</v>
      </c>
      <c r="B49" s="176">
        <f>F$15</f>
        <v>50.87847730600292</v>
      </c>
      <c r="C49" s="177">
        <f t="shared" si="2"/>
        <v>123.35821687235182</v>
      </c>
    </row>
    <row r="50" spans="1:3" ht="12.75">
      <c r="A50" s="141">
        <f t="shared" si="3"/>
        <v>30</v>
      </c>
      <c r="B50" s="176">
        <f>F$14</f>
        <v>69.69253294289896</v>
      </c>
      <c r="C50" s="177">
        <f t="shared" si="2"/>
        <v>128.74032831782205</v>
      </c>
    </row>
    <row r="51" spans="1:3" ht="12.75">
      <c r="A51" s="141">
        <f t="shared" si="3"/>
        <v>29</v>
      </c>
      <c r="B51" s="176">
        <f>F$13</f>
        <v>89.16544655929722</v>
      </c>
      <c r="C51" s="177">
        <f t="shared" si="2"/>
        <v>103.04016769888189</v>
      </c>
    </row>
    <row r="52" spans="1:3" ht="12.75">
      <c r="A52" s="141">
        <f t="shared" si="3"/>
        <v>28</v>
      </c>
      <c r="B52" s="176">
        <f>F$12</f>
        <v>98.53587115666178</v>
      </c>
      <c r="C52" s="177">
        <f t="shared" si="2"/>
        <v>1.570038734171118</v>
      </c>
    </row>
    <row r="53" spans="1:3" ht="12.75">
      <c r="A53" s="141">
        <f t="shared" si="3"/>
        <v>27</v>
      </c>
      <c r="B53" s="176">
        <f>F$11</f>
        <v>100</v>
      </c>
      <c r="C53" s="177" t="e">
        <f t="shared" si="2"/>
        <v>#DIV/0!</v>
      </c>
    </row>
    <row r="54" spans="1:3" ht="12.75">
      <c r="A54" s="141">
        <f t="shared" si="3"/>
        <v>26</v>
      </c>
      <c r="B54" s="176">
        <f>F$10</f>
        <v>100</v>
      </c>
      <c r="C54" s="177" t="e">
        <f t="shared" si="2"/>
        <v>#DIV/0!</v>
      </c>
    </row>
    <row r="55" spans="1:3" ht="12.75">
      <c r="A55" s="141">
        <f t="shared" si="3"/>
        <v>25</v>
      </c>
      <c r="B55" s="176">
        <f>F$9</f>
        <v>100</v>
      </c>
      <c r="C55" s="177" t="e">
        <f t="shared" si="2"/>
        <v>#REF!</v>
      </c>
    </row>
    <row r="56" spans="1:3" ht="12.75">
      <c r="A56" s="141">
        <f t="shared" si="3"/>
        <v>24</v>
      </c>
      <c r="B56" s="176" t="e">
        <f>#REF!</f>
        <v>#REF!</v>
      </c>
      <c r="C56" s="177" t="e">
        <f t="shared" si="2"/>
        <v>#REF!</v>
      </c>
    </row>
    <row r="57" spans="1:3" ht="12.75">
      <c r="A57" s="141">
        <f t="shared" si="3"/>
        <v>23</v>
      </c>
      <c r="B57" s="176" t="e">
        <f>#REF!</f>
        <v>#REF!</v>
      </c>
      <c r="C57" s="177" t="e">
        <f>10^C85</f>
        <v>#REF!</v>
      </c>
    </row>
    <row r="58" spans="1:3" ht="12.75">
      <c r="A58" s="141">
        <f t="shared" si="3"/>
        <v>22</v>
      </c>
      <c r="B58" s="176" t="e">
        <f>#REF!</f>
        <v>#REF!</v>
      </c>
      <c r="C58" s="177" t="e">
        <f t="shared" si="2"/>
        <v>#REF!</v>
      </c>
    </row>
    <row r="59" spans="1:3" ht="12.75">
      <c r="A59" s="141">
        <f t="shared" si="3"/>
        <v>21</v>
      </c>
      <c r="B59" s="176" t="e">
        <f>#REF!</f>
        <v>#REF!</v>
      </c>
      <c r="C59" s="177" t="e">
        <f t="shared" si="2"/>
        <v>#REF!</v>
      </c>
    </row>
    <row r="60" spans="1:3" ht="12.75">
      <c r="A60" s="141">
        <f t="shared" si="3"/>
        <v>20</v>
      </c>
      <c r="B60" s="176" t="e">
        <f>#REF!</f>
        <v>#REF!</v>
      </c>
      <c r="C60" s="177" t="e">
        <f t="shared" si="2"/>
        <v>#REF!</v>
      </c>
    </row>
    <row r="61" spans="1:3" ht="12.75">
      <c r="A61" s="141">
        <f t="shared" si="3"/>
        <v>19</v>
      </c>
      <c r="B61" s="176" t="e">
        <f>#REF!</f>
        <v>#REF!</v>
      </c>
      <c r="C61" s="177" t="e">
        <f t="shared" si="2"/>
        <v>#REF!</v>
      </c>
    </row>
    <row r="62" spans="1:3" ht="12.75">
      <c r="A62" s="141">
        <f t="shared" si="3"/>
        <v>18</v>
      </c>
      <c r="B62" s="176" t="e">
        <f>#REF!</f>
        <v>#REF!</v>
      </c>
      <c r="C62" s="177" t="e">
        <f t="shared" si="2"/>
        <v>#REF!</v>
      </c>
    </row>
    <row r="63" spans="1:3" ht="12.75">
      <c r="A63" s="141">
        <f t="shared" si="3"/>
        <v>17</v>
      </c>
      <c r="B63" s="176" t="e">
        <f>#REF!</f>
        <v>#REF!</v>
      </c>
      <c r="C63" s="177" t="e">
        <f t="shared" si="2"/>
        <v>#REF!</v>
      </c>
    </row>
    <row r="64" spans="1:3" ht="12.75">
      <c r="A64" s="141">
        <f t="shared" si="3"/>
        <v>16</v>
      </c>
      <c r="B64" s="176" t="e">
        <f>#REF!</f>
        <v>#REF!</v>
      </c>
      <c r="C64" s="177" t="e">
        <f t="shared" si="2"/>
        <v>#REF!</v>
      </c>
    </row>
    <row r="65" spans="1:3" ht="12.75">
      <c r="A65" s="141">
        <f t="shared" si="3"/>
        <v>15</v>
      </c>
      <c r="B65" s="176" t="e">
        <f>#REF!</f>
        <v>#REF!</v>
      </c>
      <c r="C65" s="177" t="e">
        <f t="shared" si="2"/>
        <v>#REF!</v>
      </c>
    </row>
    <row r="66" spans="1:3" ht="12.75">
      <c r="A66" s="141">
        <f t="shared" si="3"/>
        <v>14</v>
      </c>
      <c r="B66" s="176" t="e">
        <f>#REF!</f>
        <v>#REF!</v>
      </c>
      <c r="C66" s="177" t="e">
        <f t="shared" si="2"/>
        <v>#REF!</v>
      </c>
    </row>
    <row r="67" spans="1:3" ht="12.75">
      <c r="A67" s="141">
        <f t="shared" si="3"/>
        <v>13</v>
      </c>
      <c r="B67" s="176" t="e">
        <f>#REF!</f>
        <v>#REF!</v>
      </c>
      <c r="C67" s="177" t="e">
        <f t="shared" si="2"/>
        <v>#REF!</v>
      </c>
    </row>
    <row r="68" spans="1:3" ht="12.75">
      <c r="A68" s="141">
        <f t="shared" si="3"/>
        <v>12</v>
      </c>
      <c r="B68" s="176" t="e">
        <f>#REF!</f>
        <v>#REF!</v>
      </c>
      <c r="C68" s="177" t="e">
        <f t="shared" si="2"/>
        <v>#REF!</v>
      </c>
    </row>
    <row r="69" spans="1:3" ht="12.75">
      <c r="A69" s="141">
        <f t="shared" si="3"/>
        <v>11</v>
      </c>
      <c r="B69" s="176" t="e">
        <f>#REF!</f>
        <v>#REF!</v>
      </c>
      <c r="C69" s="177" t="e">
        <f t="shared" si="2"/>
        <v>#REF!</v>
      </c>
    </row>
    <row r="70" spans="1:3" ht="12.75">
      <c r="A70" s="141">
        <f t="shared" si="3"/>
        <v>10</v>
      </c>
      <c r="B70" s="176" t="e">
        <f>#REF!</f>
        <v>#REF!</v>
      </c>
      <c r="C70" s="177" t="e">
        <f t="shared" si="2"/>
        <v>#REF!</v>
      </c>
    </row>
    <row r="71" spans="1:3" ht="12.75">
      <c r="A71" s="141">
        <f t="shared" si="3"/>
        <v>9</v>
      </c>
      <c r="B71" s="176" t="e">
        <f>#REF!</f>
        <v>#REF!</v>
      </c>
      <c r="C71" s="177" t="e">
        <f t="shared" si="2"/>
        <v>#REF!</v>
      </c>
    </row>
    <row r="72" spans="2:3" ht="12.75">
      <c r="B72" s="176"/>
      <c r="C72" s="175"/>
    </row>
    <row r="73" spans="2:3" ht="12.75">
      <c r="B73" s="174"/>
      <c r="C73" s="175"/>
    </row>
    <row r="74" spans="1:3" ht="12.75">
      <c r="A74" s="178">
        <f>A75+1</f>
        <v>34</v>
      </c>
      <c r="B74" s="179">
        <f>B18</f>
        <v>25</v>
      </c>
      <c r="C74" s="177">
        <f aca="true" t="shared" si="4" ref="C74:C99">(LOG(B$45)-LOG(B46))/(LOG(B47)-LOG(B46))*(LOG(B75)-LOG(B74))+LOG(B74)</f>
        <v>2.307020073159567</v>
      </c>
    </row>
    <row r="75" spans="1:3" ht="12.75">
      <c r="A75" s="178">
        <f>A76+1</f>
        <v>33</v>
      </c>
      <c r="B75" s="179">
        <f>B17</f>
        <v>38</v>
      </c>
      <c r="C75" s="177">
        <f t="shared" si="4"/>
        <v>2.079212164991216</v>
      </c>
    </row>
    <row r="76" spans="1:3" ht="12.75">
      <c r="A76" s="178">
        <f>A77+1</f>
        <v>32</v>
      </c>
      <c r="B76" s="179">
        <f>B16</f>
        <v>53</v>
      </c>
      <c r="C76" s="177">
        <f t="shared" si="4"/>
        <v>2.0969607065985985</v>
      </c>
    </row>
    <row r="77" spans="1:3" ht="12.75">
      <c r="A77" s="178">
        <f>A78+1</f>
        <v>31</v>
      </c>
      <c r="B77" s="179">
        <f>B15</f>
        <v>75</v>
      </c>
      <c r="C77" s="177">
        <f t="shared" si="4"/>
        <v>2.0911680830796517</v>
      </c>
    </row>
    <row r="78" spans="1:3" ht="12.75">
      <c r="A78" s="178">
        <f aca="true" t="shared" si="5" ref="A78:A97">A79+1</f>
        <v>30</v>
      </c>
      <c r="B78" s="179">
        <f>B14</f>
        <v>106</v>
      </c>
      <c r="C78" s="177">
        <f t="shared" si="4"/>
        <v>2.1097146123464428</v>
      </c>
    </row>
    <row r="79" spans="1:3" ht="12.75">
      <c r="A79" s="178">
        <f t="shared" si="5"/>
        <v>29</v>
      </c>
      <c r="B79" s="179">
        <f>B13</f>
        <v>150</v>
      </c>
      <c r="C79" s="177">
        <f t="shared" si="4"/>
        <v>2.0130065568348336</v>
      </c>
    </row>
    <row r="80" spans="1:3" ht="12.75">
      <c r="A80" s="178">
        <f t="shared" si="5"/>
        <v>28</v>
      </c>
      <c r="B80" s="179">
        <f>B12</f>
        <v>212</v>
      </c>
      <c r="C80" s="177">
        <f t="shared" si="4"/>
        <v>0.1959103669501694</v>
      </c>
    </row>
    <row r="81" spans="1:3" ht="12.75">
      <c r="A81" s="178">
        <f t="shared" si="5"/>
        <v>27</v>
      </c>
      <c r="B81" s="179">
        <f>B11</f>
        <v>300</v>
      </c>
      <c r="C81" s="177" t="e">
        <f t="shared" si="4"/>
        <v>#DIV/0!</v>
      </c>
    </row>
    <row r="82" spans="1:3" ht="12.75">
      <c r="A82" s="178">
        <f t="shared" si="5"/>
        <v>26</v>
      </c>
      <c r="B82" s="179">
        <f>B10</f>
        <v>425</v>
      </c>
      <c r="C82" s="177" t="e">
        <f t="shared" si="4"/>
        <v>#DIV/0!</v>
      </c>
    </row>
    <row r="83" spans="1:3" ht="12.75">
      <c r="A83" s="178">
        <f t="shared" si="5"/>
        <v>25</v>
      </c>
      <c r="B83" s="179">
        <f>B9</f>
        <v>600</v>
      </c>
      <c r="C83" s="177" t="e">
        <f t="shared" si="4"/>
        <v>#REF!</v>
      </c>
    </row>
    <row r="84" spans="1:3" ht="12.75">
      <c r="A84" s="178">
        <f t="shared" si="5"/>
        <v>24</v>
      </c>
      <c r="B84" s="179" t="e">
        <f>#REF!</f>
        <v>#REF!</v>
      </c>
      <c r="C84" s="177" t="e">
        <f t="shared" si="4"/>
        <v>#REF!</v>
      </c>
    </row>
    <row r="85" spans="1:3" ht="12.75">
      <c r="A85" s="178">
        <f t="shared" si="5"/>
        <v>23</v>
      </c>
      <c r="B85" s="179" t="e">
        <f>#REF!</f>
        <v>#REF!</v>
      </c>
      <c r="C85" s="177" t="e">
        <f t="shared" si="4"/>
        <v>#REF!</v>
      </c>
    </row>
    <row r="86" spans="1:3" ht="12.75">
      <c r="A86" s="178">
        <f t="shared" si="5"/>
        <v>22</v>
      </c>
      <c r="B86" s="179" t="e">
        <f>#REF!</f>
        <v>#REF!</v>
      </c>
      <c r="C86" s="177" t="e">
        <f t="shared" si="4"/>
        <v>#REF!</v>
      </c>
    </row>
    <row r="87" spans="1:3" ht="12.75">
      <c r="A87" s="178">
        <f t="shared" si="5"/>
        <v>21</v>
      </c>
      <c r="B87" s="179" t="e">
        <f>#REF!</f>
        <v>#REF!</v>
      </c>
      <c r="C87" s="177" t="e">
        <f t="shared" si="4"/>
        <v>#REF!</v>
      </c>
    </row>
    <row r="88" spans="1:3" ht="12.75">
      <c r="A88" s="178">
        <f t="shared" si="5"/>
        <v>20</v>
      </c>
      <c r="B88" s="179" t="e">
        <f>#REF!</f>
        <v>#REF!</v>
      </c>
      <c r="C88" s="177" t="e">
        <f t="shared" si="4"/>
        <v>#REF!</v>
      </c>
    </row>
    <row r="89" spans="1:3" ht="12.75">
      <c r="A89" s="178">
        <f t="shared" si="5"/>
        <v>19</v>
      </c>
      <c r="B89" s="179" t="e">
        <f>#REF!</f>
        <v>#REF!</v>
      </c>
      <c r="C89" s="177" t="e">
        <f t="shared" si="4"/>
        <v>#REF!</v>
      </c>
    </row>
    <row r="90" spans="1:3" ht="12.75">
      <c r="A90" s="178">
        <f t="shared" si="5"/>
        <v>18</v>
      </c>
      <c r="B90" s="179" t="e">
        <f>#REF!</f>
        <v>#REF!</v>
      </c>
      <c r="C90" s="177" t="e">
        <f t="shared" si="4"/>
        <v>#REF!</v>
      </c>
    </row>
    <row r="91" spans="1:3" ht="12.75">
      <c r="A91" s="178">
        <f t="shared" si="5"/>
        <v>17</v>
      </c>
      <c r="B91" s="179" t="e">
        <f>#REF!</f>
        <v>#REF!</v>
      </c>
      <c r="C91" s="177" t="e">
        <f t="shared" si="4"/>
        <v>#REF!</v>
      </c>
    </row>
    <row r="92" spans="1:3" ht="12.75">
      <c r="A92" s="178">
        <f t="shared" si="5"/>
        <v>16</v>
      </c>
      <c r="B92" s="179" t="e">
        <f>#REF!</f>
        <v>#REF!</v>
      </c>
      <c r="C92" s="177" t="e">
        <f t="shared" si="4"/>
        <v>#REF!</v>
      </c>
    </row>
    <row r="93" spans="1:3" ht="12.75">
      <c r="A93" s="178">
        <f t="shared" si="5"/>
        <v>15</v>
      </c>
      <c r="B93" s="179" t="e">
        <f>#REF!</f>
        <v>#REF!</v>
      </c>
      <c r="C93" s="177" t="e">
        <f t="shared" si="4"/>
        <v>#REF!</v>
      </c>
    </row>
    <row r="94" spans="1:3" ht="12.75">
      <c r="A94" s="178">
        <f t="shared" si="5"/>
        <v>14</v>
      </c>
      <c r="B94" s="179" t="e">
        <f>#REF!</f>
        <v>#REF!</v>
      </c>
      <c r="C94" s="177" t="e">
        <f t="shared" si="4"/>
        <v>#REF!</v>
      </c>
    </row>
    <row r="95" spans="1:3" ht="12.75">
      <c r="A95" s="178">
        <f t="shared" si="5"/>
        <v>13</v>
      </c>
      <c r="B95" s="179" t="e">
        <f>#REF!</f>
        <v>#REF!</v>
      </c>
      <c r="C95" s="177" t="e">
        <f t="shared" si="4"/>
        <v>#REF!</v>
      </c>
    </row>
    <row r="96" spans="1:3" ht="12.75">
      <c r="A96" s="178">
        <f t="shared" si="5"/>
        <v>12</v>
      </c>
      <c r="B96" s="179" t="e">
        <f>#REF!</f>
        <v>#REF!</v>
      </c>
      <c r="C96" s="177" t="e">
        <f t="shared" si="4"/>
        <v>#REF!</v>
      </c>
    </row>
    <row r="97" spans="1:3" ht="12.75">
      <c r="A97" s="178">
        <f t="shared" si="5"/>
        <v>11</v>
      </c>
      <c r="B97" s="179" t="e">
        <f>#REF!</f>
        <v>#REF!</v>
      </c>
      <c r="C97" s="177" t="e">
        <f t="shared" si="4"/>
        <v>#REF!</v>
      </c>
    </row>
    <row r="98" spans="1:3" ht="12.75">
      <c r="A98" s="178">
        <f>A99+1</f>
        <v>10</v>
      </c>
      <c r="B98" s="179" t="e">
        <f>#REF!</f>
        <v>#REF!</v>
      </c>
      <c r="C98" s="177" t="e">
        <f t="shared" si="4"/>
        <v>#REF!</v>
      </c>
    </row>
    <row r="99" spans="1:3" ht="12.75">
      <c r="A99" s="178">
        <v>9</v>
      </c>
      <c r="B99" s="179" t="e">
        <f>#REF!</f>
        <v>#REF!</v>
      </c>
      <c r="C99" s="177" t="e">
        <f t="shared" si="4"/>
        <v>#REF!</v>
      </c>
    </row>
    <row r="100" spans="2:3" ht="12.75">
      <c r="B100" s="175"/>
      <c r="C100" s="175"/>
    </row>
    <row r="101" spans="2:3" ht="12.75">
      <c r="B101" s="175"/>
      <c r="C101" s="180">
        <f>VLOOKUP($B45,B46:C71,2)</f>
        <v>128.74032831782205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zoomScalePageLayoutView="0" workbookViewId="0" topLeftCell="A1">
      <selection activeCell="C13" sqref="C13:C19"/>
    </sheetView>
  </sheetViews>
  <sheetFormatPr defaultColWidth="10.7109375" defaultRowHeight="12.75"/>
  <cols>
    <col min="1" max="6" width="11.7109375" style="97" customWidth="1"/>
    <col min="7" max="16384" width="10.7109375" style="97" customWidth="1"/>
  </cols>
  <sheetData>
    <row r="1" spans="1:6" s="1" customFormat="1" ht="12.75">
      <c r="A1" s="93"/>
      <c r="B1" s="94"/>
      <c r="C1" s="95" t="s">
        <v>59</v>
      </c>
      <c r="D1" s="96"/>
      <c r="E1" s="94"/>
      <c r="F1" s="97" t="s">
        <v>60</v>
      </c>
    </row>
    <row r="2" spans="1:6" s="1" customFormat="1" ht="12.75">
      <c r="A2" s="181" t="str">
        <f>'E-GRG-1'!H2</f>
        <v>Fraser</v>
      </c>
      <c r="B2" s="94"/>
      <c r="C2" s="95" t="s">
        <v>61</v>
      </c>
      <c r="D2" s="96"/>
      <c r="E2" s="94"/>
      <c r="F2" s="189" t="s">
        <v>103</v>
      </c>
    </row>
    <row r="3" spans="1:4" s="1" customFormat="1" ht="12.75">
      <c r="A3" s="2"/>
      <c r="B3" s="2"/>
      <c r="C3" s="2"/>
      <c r="D3" s="2"/>
    </row>
    <row r="4" spans="1:6" s="1" customFormat="1" ht="12.75">
      <c r="A4" s="2" t="s">
        <v>62</v>
      </c>
      <c r="B4" s="3" t="s">
        <v>76</v>
      </c>
      <c r="C4" s="2"/>
      <c r="D4" s="2" t="s">
        <v>63</v>
      </c>
      <c r="E4" s="3" t="s">
        <v>110</v>
      </c>
      <c r="F4" s="4"/>
    </row>
    <row r="5" spans="1:6" ht="9" customHeight="1" thickBot="1">
      <c r="A5" s="94"/>
      <c r="B5" s="94"/>
      <c r="C5" s="94"/>
      <c r="D5" s="94"/>
      <c r="E5" s="94"/>
      <c r="F5" s="94"/>
    </row>
    <row r="6" spans="1:8" ht="12.75">
      <c r="A6" s="98" t="s">
        <v>24</v>
      </c>
      <c r="B6" s="99"/>
      <c r="C6" s="100" t="s">
        <v>64</v>
      </c>
      <c r="D6" s="98" t="s">
        <v>65</v>
      </c>
      <c r="E6" s="99"/>
      <c r="F6" s="101" t="s">
        <v>66</v>
      </c>
      <c r="G6" s="94"/>
      <c r="H6" s="102" t="s">
        <v>67</v>
      </c>
    </row>
    <row r="7" spans="1:8" ht="13.5" thickBot="1">
      <c r="A7" s="103" t="s">
        <v>30</v>
      </c>
      <c r="B7" s="103" t="s">
        <v>68</v>
      </c>
      <c r="C7" s="103" t="s">
        <v>12</v>
      </c>
      <c r="D7" s="103" t="s">
        <v>69</v>
      </c>
      <c r="E7" s="103" t="s">
        <v>70</v>
      </c>
      <c r="F7" s="104" t="s">
        <v>70</v>
      </c>
      <c r="G7" s="94"/>
      <c r="H7" s="105">
        <v>80</v>
      </c>
    </row>
    <row r="8" spans="1:7" ht="7.5" customHeight="1">
      <c r="A8" s="106"/>
      <c r="B8" s="106"/>
      <c r="C8" s="106"/>
      <c r="D8" s="106"/>
      <c r="E8" s="106"/>
      <c r="F8" s="107"/>
      <c r="G8" s="94"/>
    </row>
    <row r="9" spans="1:7" ht="12.75">
      <c r="A9" s="108">
        <v>28</v>
      </c>
      <c r="B9" s="108">
        <v>600</v>
      </c>
      <c r="C9" s="201">
        <v>0</v>
      </c>
      <c r="D9" s="109">
        <f>C9/C20*100</f>
        <v>0</v>
      </c>
      <c r="E9" s="109">
        <f>D9</f>
        <v>0</v>
      </c>
      <c r="F9" s="110">
        <f aca="true" t="shared" si="0" ref="F9:F19">100-E9</f>
        <v>100</v>
      </c>
      <c r="G9" s="111"/>
    </row>
    <row r="10" spans="1:7" ht="12.75">
      <c r="A10" s="108">
        <v>35</v>
      </c>
      <c r="B10" s="108">
        <v>425</v>
      </c>
      <c r="C10" s="201">
        <v>0</v>
      </c>
      <c r="D10" s="109">
        <f>C10/C20*100</f>
        <v>0</v>
      </c>
      <c r="E10" s="109">
        <f aca="true" t="shared" si="1" ref="E10:E19">E9+D10</f>
        <v>0</v>
      </c>
      <c r="F10" s="110">
        <f t="shared" si="0"/>
        <v>100</v>
      </c>
      <c r="G10" s="111"/>
    </row>
    <row r="11" spans="1:7" ht="12.75">
      <c r="A11" s="108">
        <v>48</v>
      </c>
      <c r="B11" s="108">
        <v>300</v>
      </c>
      <c r="C11" s="201">
        <v>0</v>
      </c>
      <c r="D11" s="109">
        <f>C11/C20*100</f>
        <v>0</v>
      </c>
      <c r="E11" s="109">
        <f t="shared" si="1"/>
        <v>0</v>
      </c>
      <c r="F11" s="110">
        <f t="shared" si="0"/>
        <v>100</v>
      </c>
      <c r="G11" s="111"/>
    </row>
    <row r="12" spans="1:7" ht="12.75">
      <c r="A12" s="108">
        <v>65</v>
      </c>
      <c r="B12" s="108">
        <v>212</v>
      </c>
      <c r="C12" s="201">
        <v>0</v>
      </c>
      <c r="D12" s="109">
        <f>C12/C20*100</f>
        <v>0</v>
      </c>
      <c r="E12" s="109">
        <f t="shared" si="1"/>
        <v>0</v>
      </c>
      <c r="F12" s="110">
        <f t="shared" si="0"/>
        <v>100</v>
      </c>
      <c r="G12" s="111"/>
    </row>
    <row r="13" spans="1:7" ht="12.75">
      <c r="A13" s="108">
        <v>100</v>
      </c>
      <c r="B13" s="108">
        <v>150</v>
      </c>
      <c r="C13" s="201">
        <v>2.2</v>
      </c>
      <c r="D13" s="109">
        <f>C13/C20*100</f>
        <v>2.8241335044929397</v>
      </c>
      <c r="E13" s="109">
        <f t="shared" si="1"/>
        <v>2.8241335044929397</v>
      </c>
      <c r="F13" s="110">
        <f t="shared" si="0"/>
        <v>97.17586649550707</v>
      </c>
      <c r="G13" s="111"/>
    </row>
    <row r="14" spans="1:7" ht="12.75">
      <c r="A14" s="108">
        <v>150</v>
      </c>
      <c r="B14" s="108">
        <v>106</v>
      </c>
      <c r="C14" s="201">
        <v>6.2</v>
      </c>
      <c r="D14" s="109">
        <f>C14/C20*100</f>
        <v>7.958921694480102</v>
      </c>
      <c r="E14" s="109">
        <f t="shared" si="1"/>
        <v>10.783055198973042</v>
      </c>
      <c r="F14" s="110">
        <f t="shared" si="0"/>
        <v>89.21694480102695</v>
      </c>
      <c r="G14" s="111"/>
    </row>
    <row r="15" spans="1:7" ht="12.75">
      <c r="A15" s="108">
        <v>200</v>
      </c>
      <c r="B15" s="108">
        <v>75</v>
      </c>
      <c r="C15" s="201">
        <v>19.3</v>
      </c>
      <c r="D15" s="109">
        <f>C15/C20*100</f>
        <v>24.77535301668806</v>
      </c>
      <c r="E15" s="109">
        <f t="shared" si="1"/>
        <v>35.5584082156611</v>
      </c>
      <c r="F15" s="110">
        <f t="shared" si="0"/>
        <v>64.4415917843389</v>
      </c>
      <c r="G15" s="111"/>
    </row>
    <row r="16" spans="1:7" ht="12.75">
      <c r="A16" s="108">
        <v>270</v>
      </c>
      <c r="B16" s="108">
        <v>53</v>
      </c>
      <c r="C16" s="201">
        <v>19.2</v>
      </c>
      <c r="D16" s="109">
        <f>C16/C20*100</f>
        <v>24.64698331193838</v>
      </c>
      <c r="E16" s="109">
        <f t="shared" si="1"/>
        <v>60.20539152759949</v>
      </c>
      <c r="F16" s="110">
        <f t="shared" si="0"/>
        <v>39.79460847240051</v>
      </c>
      <c r="G16" s="111"/>
    </row>
    <row r="17" spans="1:7" ht="12.75">
      <c r="A17" s="108">
        <v>400</v>
      </c>
      <c r="B17" s="108">
        <v>38</v>
      </c>
      <c r="C17" s="201">
        <v>15.8</v>
      </c>
      <c r="D17" s="109">
        <f>C17/C20*100</f>
        <v>20.282413350449293</v>
      </c>
      <c r="E17" s="109">
        <f t="shared" si="1"/>
        <v>80.48780487804878</v>
      </c>
      <c r="F17" s="110">
        <f t="shared" si="0"/>
        <v>19.512195121951223</v>
      </c>
      <c r="G17" s="111"/>
    </row>
    <row r="18" spans="1:7" ht="12.75">
      <c r="A18" s="108">
        <v>500</v>
      </c>
      <c r="B18" s="108">
        <v>25</v>
      </c>
      <c r="C18" s="201">
        <v>8.6</v>
      </c>
      <c r="D18" s="109">
        <f>C18/C20*100</f>
        <v>11.039794608472398</v>
      </c>
      <c r="E18" s="109">
        <f t="shared" si="1"/>
        <v>91.52759948652118</v>
      </c>
      <c r="F18" s="110">
        <f t="shared" si="0"/>
        <v>8.472400513478817</v>
      </c>
      <c r="G18" s="111"/>
    </row>
    <row r="19" spans="1:7" ht="12.75">
      <c r="A19" s="108" t="s">
        <v>71</v>
      </c>
      <c r="B19" s="108">
        <f>-B18</f>
        <v>-25</v>
      </c>
      <c r="C19" s="109">
        <f>C20-SUM(C9:C18)</f>
        <v>6.6000000000000085</v>
      </c>
      <c r="D19" s="109">
        <f>C19/C20*100</f>
        <v>8.47240051347883</v>
      </c>
      <c r="E19" s="109">
        <f t="shared" si="1"/>
        <v>100.00000000000001</v>
      </c>
      <c r="F19" s="110">
        <f t="shared" si="0"/>
        <v>0</v>
      </c>
      <c r="G19" s="111"/>
    </row>
    <row r="20" spans="1:7" ht="12.75">
      <c r="A20" s="112" t="s">
        <v>36</v>
      </c>
      <c r="B20" s="112" t="s">
        <v>72</v>
      </c>
      <c r="C20" s="113">
        <v>77.9</v>
      </c>
      <c r="D20" s="109">
        <f>SUM(D9:D19)</f>
        <v>100.00000000000001</v>
      </c>
      <c r="E20" s="112" t="s">
        <v>72</v>
      </c>
      <c r="F20" s="114" t="s">
        <v>72</v>
      </c>
      <c r="G20" s="94"/>
    </row>
    <row r="21" spans="1:6" ht="12.75">
      <c r="A21" s="115" t="str">
        <f>"K"&amp;H7</f>
        <v>K80</v>
      </c>
      <c r="B21" s="116">
        <f>C101</f>
        <v>94.39390201613588</v>
      </c>
      <c r="C21" s="117"/>
      <c r="D21" s="118"/>
      <c r="E21" s="117"/>
      <c r="F21" s="119"/>
    </row>
    <row r="22" spans="1:6" ht="12.75">
      <c r="A22" s="120"/>
      <c r="B22" s="121"/>
      <c r="C22" s="122"/>
      <c r="D22" s="123"/>
      <c r="E22" s="122"/>
      <c r="F22" s="122"/>
    </row>
    <row r="23" spans="1:6" ht="12.75">
      <c r="A23" s="120"/>
      <c r="B23" s="121"/>
      <c r="C23" s="122"/>
      <c r="D23" s="123"/>
      <c r="E23" s="122"/>
      <c r="F23" s="122"/>
    </row>
    <row r="24" spans="1:6" ht="12.75">
      <c r="A24" s="120"/>
      <c r="B24" s="121"/>
      <c r="C24" s="122"/>
      <c r="D24" s="123"/>
      <c r="E24" s="122"/>
      <c r="F24" s="122"/>
    </row>
    <row r="25" ht="7.5" customHeight="1"/>
    <row r="29" spans="8:9" ht="12.75">
      <c r="H29" s="124" t="s">
        <v>73</v>
      </c>
      <c r="I29" s="125"/>
    </row>
    <row r="30" spans="8:9" ht="12.75">
      <c r="H30" s="126">
        <v>10</v>
      </c>
      <c r="I30" s="127">
        <f>H7</f>
        <v>80</v>
      </c>
    </row>
    <row r="31" spans="8:9" ht="12.75">
      <c r="H31" s="127">
        <f>B21</f>
        <v>94.39390201613588</v>
      </c>
      <c r="I31" s="126">
        <f>I30</f>
        <v>80</v>
      </c>
    </row>
    <row r="32" spans="8:9" ht="12.75">
      <c r="H32" s="127">
        <f>H31</f>
        <v>94.39390201613588</v>
      </c>
      <c r="I32" s="126">
        <v>0</v>
      </c>
    </row>
    <row r="33" spans="8:9" ht="12.75">
      <c r="H33" s="128"/>
      <c r="I33" s="128"/>
    </row>
    <row r="34" spans="8:9" ht="12.75">
      <c r="H34" s="129" t="str">
        <f>A21&amp;" = "&amp;ROUND(B21,0)&amp;" µm"</f>
        <v>K80 = 94 µm</v>
      </c>
      <c r="I34" s="128"/>
    </row>
    <row r="36" ht="12.75"/>
    <row r="37" ht="12.75"/>
    <row r="38" ht="12.75"/>
    <row r="45" spans="2:3" ht="12.75">
      <c r="B45" s="130">
        <f>H7</f>
        <v>80</v>
      </c>
      <c r="C45" s="131" t="s">
        <v>74</v>
      </c>
    </row>
    <row r="46" spans="1:3" ht="12.75">
      <c r="A46" s="97">
        <v>34</v>
      </c>
      <c r="B46" s="132">
        <f>F$18</f>
        <v>8.472400513478817</v>
      </c>
      <c r="C46" s="133">
        <f>10^C74</f>
        <v>77.15231020664334</v>
      </c>
    </row>
    <row r="47" spans="1:3" ht="12.75">
      <c r="A47" s="97">
        <f>A46-1</f>
        <v>33</v>
      </c>
      <c r="B47" s="132">
        <f>F$17</f>
        <v>19.512195121951223</v>
      </c>
      <c r="C47" s="133">
        <f aca="true" t="shared" si="2" ref="C47:C71">10^C75</f>
        <v>73.42591326980475</v>
      </c>
    </row>
    <row r="48" spans="1:3" ht="12.75">
      <c r="A48" s="97">
        <f aca="true" t="shared" si="3" ref="A48:A62">A47-1</f>
        <v>32</v>
      </c>
      <c r="B48" s="132">
        <f>F$16</f>
        <v>39.79460847240051</v>
      </c>
      <c r="C48" s="133">
        <f t="shared" si="2"/>
        <v>87.6421210942712</v>
      </c>
    </row>
    <row r="49" spans="1:3" ht="12.75">
      <c r="A49" s="97">
        <f t="shared" si="3"/>
        <v>31</v>
      </c>
      <c r="B49" s="132">
        <f>F$15</f>
        <v>64.4415917843389</v>
      </c>
      <c r="C49" s="133">
        <f t="shared" si="2"/>
        <v>94.39390201613588</v>
      </c>
    </row>
    <row r="50" spans="1:3" ht="12.75">
      <c r="A50" s="97">
        <f t="shared" si="3"/>
        <v>30</v>
      </c>
      <c r="B50" s="132">
        <f>F$14</f>
        <v>89.21694480102695</v>
      </c>
      <c r="C50" s="133">
        <f t="shared" si="2"/>
        <v>68.0595323323518</v>
      </c>
    </row>
    <row r="51" spans="1:3" ht="12.75">
      <c r="A51" s="97">
        <f t="shared" si="3"/>
        <v>29</v>
      </c>
      <c r="B51" s="132">
        <f>F$13</f>
        <v>97.17586649550707</v>
      </c>
      <c r="C51" s="133">
        <f t="shared" si="2"/>
        <v>14.323519209648303</v>
      </c>
    </row>
    <row r="52" spans="1:3" ht="12.75">
      <c r="A52" s="97">
        <f t="shared" si="3"/>
        <v>28</v>
      </c>
      <c r="B52" s="132">
        <f>F$12</f>
        <v>100</v>
      </c>
      <c r="C52" s="133" t="e">
        <f t="shared" si="2"/>
        <v>#DIV/0!</v>
      </c>
    </row>
    <row r="53" spans="1:3" ht="12.75">
      <c r="A53" s="97">
        <f t="shared" si="3"/>
        <v>27</v>
      </c>
      <c r="B53" s="132">
        <f>F$11</f>
        <v>100</v>
      </c>
      <c r="C53" s="133" t="e">
        <f t="shared" si="2"/>
        <v>#DIV/0!</v>
      </c>
    </row>
    <row r="54" spans="1:3" ht="12.75">
      <c r="A54" s="97">
        <f t="shared" si="3"/>
        <v>26</v>
      </c>
      <c r="B54" s="132">
        <f>F$10</f>
        <v>100</v>
      </c>
      <c r="C54" s="133" t="e">
        <f t="shared" si="2"/>
        <v>#DIV/0!</v>
      </c>
    </row>
    <row r="55" spans="1:3" ht="12.75">
      <c r="A55" s="97">
        <f t="shared" si="3"/>
        <v>25</v>
      </c>
      <c r="B55" s="132">
        <f>F$9</f>
        <v>100</v>
      </c>
      <c r="C55" s="133" t="e">
        <f t="shared" si="2"/>
        <v>#REF!</v>
      </c>
    </row>
    <row r="56" spans="1:3" ht="12.75">
      <c r="A56" s="97">
        <f t="shared" si="3"/>
        <v>24</v>
      </c>
      <c r="B56" s="132" t="e">
        <f>#REF!</f>
        <v>#REF!</v>
      </c>
      <c r="C56" s="133" t="e">
        <f t="shared" si="2"/>
        <v>#REF!</v>
      </c>
    </row>
    <row r="57" spans="1:3" ht="12.75">
      <c r="A57" s="97">
        <f t="shared" si="3"/>
        <v>23</v>
      </c>
      <c r="B57" s="132" t="e">
        <f>#REF!</f>
        <v>#REF!</v>
      </c>
      <c r="C57" s="133" t="e">
        <f>10^C85</f>
        <v>#REF!</v>
      </c>
    </row>
    <row r="58" spans="1:3" ht="12.75">
      <c r="A58" s="97">
        <f t="shared" si="3"/>
        <v>22</v>
      </c>
      <c r="B58" s="132" t="e">
        <f>#REF!</f>
        <v>#REF!</v>
      </c>
      <c r="C58" s="133" t="e">
        <f t="shared" si="2"/>
        <v>#REF!</v>
      </c>
    </row>
    <row r="59" spans="1:3" ht="12.75">
      <c r="A59" s="97">
        <f t="shared" si="3"/>
        <v>21</v>
      </c>
      <c r="B59" s="132" t="e">
        <f>#REF!</f>
        <v>#REF!</v>
      </c>
      <c r="C59" s="133" t="e">
        <f t="shared" si="2"/>
        <v>#REF!</v>
      </c>
    </row>
    <row r="60" spans="1:3" ht="12.75">
      <c r="A60" s="97">
        <f t="shared" si="3"/>
        <v>20</v>
      </c>
      <c r="B60" s="132" t="e">
        <f>#REF!</f>
        <v>#REF!</v>
      </c>
      <c r="C60" s="133" t="e">
        <f t="shared" si="2"/>
        <v>#REF!</v>
      </c>
    </row>
    <row r="61" spans="1:3" ht="12.75">
      <c r="A61" s="97">
        <f t="shared" si="3"/>
        <v>19</v>
      </c>
      <c r="B61" s="132" t="e">
        <f>#REF!</f>
        <v>#REF!</v>
      </c>
      <c r="C61" s="133" t="e">
        <f t="shared" si="2"/>
        <v>#REF!</v>
      </c>
    </row>
    <row r="62" spans="1:3" ht="12.75">
      <c r="A62" s="97">
        <f t="shared" si="3"/>
        <v>18</v>
      </c>
      <c r="B62" s="132" t="e">
        <f>#REF!</f>
        <v>#REF!</v>
      </c>
      <c r="C62" s="133" t="e">
        <f t="shared" si="2"/>
        <v>#REF!</v>
      </c>
    </row>
    <row r="63" spans="1:3" ht="12.75">
      <c r="A63" s="97">
        <f aca="true" t="shared" si="4" ref="A63:A71">A62-1</f>
        <v>17</v>
      </c>
      <c r="B63" s="132" t="e">
        <f>#REF!</f>
        <v>#REF!</v>
      </c>
      <c r="C63" s="133" t="e">
        <f t="shared" si="2"/>
        <v>#REF!</v>
      </c>
    </row>
    <row r="64" spans="1:3" ht="12.75">
      <c r="A64" s="97">
        <f t="shared" si="4"/>
        <v>16</v>
      </c>
      <c r="B64" s="132" t="e">
        <f>#REF!</f>
        <v>#REF!</v>
      </c>
      <c r="C64" s="133" t="e">
        <f t="shared" si="2"/>
        <v>#REF!</v>
      </c>
    </row>
    <row r="65" spans="1:3" ht="12.75">
      <c r="A65" s="97">
        <f t="shared" si="4"/>
        <v>15</v>
      </c>
      <c r="B65" s="132" t="e">
        <f>#REF!</f>
        <v>#REF!</v>
      </c>
      <c r="C65" s="133" t="e">
        <f t="shared" si="2"/>
        <v>#REF!</v>
      </c>
    </row>
    <row r="66" spans="1:3" ht="12.75">
      <c r="A66" s="97">
        <f t="shared" si="4"/>
        <v>14</v>
      </c>
      <c r="B66" s="132" t="e">
        <f>#REF!</f>
        <v>#REF!</v>
      </c>
      <c r="C66" s="133" t="e">
        <f t="shared" si="2"/>
        <v>#REF!</v>
      </c>
    </row>
    <row r="67" spans="1:3" ht="12.75">
      <c r="A67" s="97">
        <f t="shared" si="4"/>
        <v>13</v>
      </c>
      <c r="B67" s="132" t="e">
        <f>#REF!</f>
        <v>#REF!</v>
      </c>
      <c r="C67" s="133" t="e">
        <f t="shared" si="2"/>
        <v>#REF!</v>
      </c>
    </row>
    <row r="68" spans="1:3" ht="12.75">
      <c r="A68" s="97">
        <f t="shared" si="4"/>
        <v>12</v>
      </c>
      <c r="B68" s="132" t="e">
        <f>#REF!</f>
        <v>#REF!</v>
      </c>
      <c r="C68" s="133" t="e">
        <f t="shared" si="2"/>
        <v>#REF!</v>
      </c>
    </row>
    <row r="69" spans="1:3" ht="12.75">
      <c r="A69" s="97">
        <f t="shared" si="4"/>
        <v>11</v>
      </c>
      <c r="B69" s="132" t="e">
        <f>#REF!</f>
        <v>#REF!</v>
      </c>
      <c r="C69" s="133" t="e">
        <f t="shared" si="2"/>
        <v>#REF!</v>
      </c>
    </row>
    <row r="70" spans="1:3" ht="12.75">
      <c r="A70" s="97">
        <f t="shared" si="4"/>
        <v>10</v>
      </c>
      <c r="B70" s="132" t="e">
        <f>#REF!</f>
        <v>#REF!</v>
      </c>
      <c r="C70" s="133" t="e">
        <f t="shared" si="2"/>
        <v>#REF!</v>
      </c>
    </row>
    <row r="71" spans="1:3" ht="12.75">
      <c r="A71" s="97">
        <f t="shared" si="4"/>
        <v>9</v>
      </c>
      <c r="B71" s="132" t="e">
        <f>#REF!</f>
        <v>#REF!</v>
      </c>
      <c r="C71" s="133" t="e">
        <f t="shared" si="2"/>
        <v>#REF!</v>
      </c>
    </row>
    <row r="72" spans="2:3" ht="12.75">
      <c r="B72" s="132"/>
      <c r="C72" s="131"/>
    </row>
    <row r="73" spans="2:3" ht="12.75">
      <c r="B73" s="130"/>
      <c r="C73" s="131"/>
    </row>
    <row r="74" spans="1:3" ht="12.75">
      <c r="A74" s="134">
        <f>A75+1</f>
        <v>34</v>
      </c>
      <c r="B74" s="135">
        <f>B18</f>
        <v>25</v>
      </c>
      <c r="C74" s="133">
        <f aca="true" t="shared" si="5" ref="C74:C84">(LOG(B$45)-LOG(B46))/(LOG(B47)-LOG(B46))*(LOG(B75)-LOG(B74))+LOG(B74)</f>
        <v>1.8873489348706618</v>
      </c>
    </row>
    <row r="75" spans="1:3" ht="12.75">
      <c r="A75" s="134">
        <f>A76+1</f>
        <v>33</v>
      </c>
      <c r="B75" s="135">
        <f>B17</f>
        <v>38</v>
      </c>
      <c r="C75" s="133">
        <f t="shared" si="5"/>
        <v>1.8658493569731158</v>
      </c>
    </row>
    <row r="76" spans="1:3" ht="12.75">
      <c r="A76" s="134">
        <f>A77+1</f>
        <v>32</v>
      </c>
      <c r="B76" s="135">
        <f>B16</f>
        <v>53</v>
      </c>
      <c r="C76" s="133">
        <f t="shared" si="5"/>
        <v>1.9427128797101008</v>
      </c>
    </row>
    <row r="77" spans="1:3" ht="12.75">
      <c r="A77" s="134">
        <f>A78+1</f>
        <v>31</v>
      </c>
      <c r="B77" s="135">
        <f>B15</f>
        <v>75</v>
      </c>
      <c r="C77" s="133">
        <f t="shared" si="5"/>
        <v>1.9749439391467576</v>
      </c>
    </row>
    <row r="78" spans="1:3" ht="12.75">
      <c r="A78" s="134">
        <f aca="true" t="shared" si="6" ref="A78:A97">A79+1</f>
        <v>30</v>
      </c>
      <c r="B78" s="135">
        <f>B14</f>
        <v>106</v>
      </c>
      <c r="C78" s="133">
        <f t="shared" si="5"/>
        <v>1.8328889605373868</v>
      </c>
    </row>
    <row r="79" spans="1:3" ht="12.75">
      <c r="A79" s="134">
        <f t="shared" si="6"/>
        <v>29</v>
      </c>
      <c r="B79" s="135">
        <f>B13</f>
        <v>150</v>
      </c>
      <c r="C79" s="133">
        <f t="shared" si="5"/>
        <v>1.1560497348404883</v>
      </c>
    </row>
    <row r="80" spans="1:3" ht="12.75">
      <c r="A80" s="134">
        <f t="shared" si="6"/>
        <v>28</v>
      </c>
      <c r="B80" s="135">
        <f>B12</f>
        <v>212</v>
      </c>
      <c r="C80" s="133" t="e">
        <f t="shared" si="5"/>
        <v>#DIV/0!</v>
      </c>
    </row>
    <row r="81" spans="1:3" ht="12.75">
      <c r="A81" s="134">
        <f t="shared" si="6"/>
        <v>27</v>
      </c>
      <c r="B81" s="135">
        <f>B11</f>
        <v>300</v>
      </c>
      <c r="C81" s="133" t="e">
        <f t="shared" si="5"/>
        <v>#DIV/0!</v>
      </c>
    </row>
    <row r="82" spans="1:3" ht="12.75">
      <c r="A82" s="134">
        <f t="shared" si="6"/>
        <v>26</v>
      </c>
      <c r="B82" s="135">
        <f>B10</f>
        <v>425</v>
      </c>
      <c r="C82" s="133" t="e">
        <f t="shared" si="5"/>
        <v>#DIV/0!</v>
      </c>
    </row>
    <row r="83" spans="1:3" ht="12.75">
      <c r="A83" s="134">
        <f t="shared" si="6"/>
        <v>25</v>
      </c>
      <c r="B83" s="135">
        <f>B9</f>
        <v>600</v>
      </c>
      <c r="C83" s="133" t="e">
        <f t="shared" si="5"/>
        <v>#REF!</v>
      </c>
    </row>
    <row r="84" spans="1:3" ht="12.75">
      <c r="A84" s="134">
        <f t="shared" si="6"/>
        <v>24</v>
      </c>
      <c r="B84" s="135" t="e">
        <f>#REF!</f>
        <v>#REF!</v>
      </c>
      <c r="C84" s="133" t="e">
        <f t="shared" si="5"/>
        <v>#REF!</v>
      </c>
    </row>
    <row r="85" spans="1:3" ht="12.75">
      <c r="A85" s="134">
        <f t="shared" si="6"/>
        <v>23</v>
      </c>
      <c r="B85" s="135" t="e">
        <f>#REF!</f>
        <v>#REF!</v>
      </c>
      <c r="C85" s="133" t="e">
        <f aca="true" t="shared" si="7" ref="C85:C99">(LOG(B$45)-LOG(B57))/(LOG(B58)-LOG(B57))*(LOG(B86)-LOG(B85))+LOG(B85)</f>
        <v>#REF!</v>
      </c>
    </row>
    <row r="86" spans="1:3" ht="12.75">
      <c r="A86" s="134">
        <f t="shared" si="6"/>
        <v>22</v>
      </c>
      <c r="B86" s="135" t="e">
        <f>#REF!</f>
        <v>#REF!</v>
      </c>
      <c r="C86" s="133" t="e">
        <f t="shared" si="7"/>
        <v>#REF!</v>
      </c>
    </row>
    <row r="87" spans="1:3" ht="12.75">
      <c r="A87" s="134">
        <f t="shared" si="6"/>
        <v>21</v>
      </c>
      <c r="B87" s="135" t="e">
        <f>#REF!</f>
        <v>#REF!</v>
      </c>
      <c r="C87" s="133" t="e">
        <f t="shared" si="7"/>
        <v>#REF!</v>
      </c>
    </row>
    <row r="88" spans="1:3" ht="12.75">
      <c r="A88" s="134">
        <f t="shared" si="6"/>
        <v>20</v>
      </c>
      <c r="B88" s="135" t="e">
        <f>#REF!</f>
        <v>#REF!</v>
      </c>
      <c r="C88" s="133" t="e">
        <f t="shared" si="7"/>
        <v>#REF!</v>
      </c>
    </row>
    <row r="89" spans="1:3" ht="12.75">
      <c r="A89" s="134">
        <f t="shared" si="6"/>
        <v>19</v>
      </c>
      <c r="B89" s="135" t="e">
        <f>#REF!</f>
        <v>#REF!</v>
      </c>
      <c r="C89" s="133" t="e">
        <f t="shared" si="7"/>
        <v>#REF!</v>
      </c>
    </row>
    <row r="90" spans="1:3" ht="12.75">
      <c r="A90" s="134">
        <f t="shared" si="6"/>
        <v>18</v>
      </c>
      <c r="B90" s="135" t="e">
        <f>#REF!</f>
        <v>#REF!</v>
      </c>
      <c r="C90" s="133" t="e">
        <f t="shared" si="7"/>
        <v>#REF!</v>
      </c>
    </row>
    <row r="91" spans="1:3" ht="12.75">
      <c r="A91" s="134">
        <f t="shared" si="6"/>
        <v>17</v>
      </c>
      <c r="B91" s="135" t="e">
        <f>#REF!</f>
        <v>#REF!</v>
      </c>
      <c r="C91" s="133" t="e">
        <f t="shared" si="7"/>
        <v>#REF!</v>
      </c>
    </row>
    <row r="92" spans="1:3" ht="12.75">
      <c r="A92" s="134">
        <f t="shared" si="6"/>
        <v>16</v>
      </c>
      <c r="B92" s="135" t="e">
        <f>#REF!</f>
        <v>#REF!</v>
      </c>
      <c r="C92" s="133" t="e">
        <f t="shared" si="7"/>
        <v>#REF!</v>
      </c>
    </row>
    <row r="93" spans="1:3" ht="12.75">
      <c r="A93" s="134">
        <f t="shared" si="6"/>
        <v>15</v>
      </c>
      <c r="B93" s="135" t="e">
        <f>#REF!</f>
        <v>#REF!</v>
      </c>
      <c r="C93" s="133" t="e">
        <f t="shared" si="7"/>
        <v>#REF!</v>
      </c>
    </row>
    <row r="94" spans="1:3" ht="12.75">
      <c r="A94" s="134">
        <f t="shared" si="6"/>
        <v>14</v>
      </c>
      <c r="B94" s="135" t="e">
        <f>#REF!</f>
        <v>#REF!</v>
      </c>
      <c r="C94" s="133" t="e">
        <f t="shared" si="7"/>
        <v>#REF!</v>
      </c>
    </row>
    <row r="95" spans="1:3" ht="12.75">
      <c r="A95" s="134">
        <f t="shared" si="6"/>
        <v>13</v>
      </c>
      <c r="B95" s="135" t="e">
        <f>#REF!</f>
        <v>#REF!</v>
      </c>
      <c r="C95" s="133" t="e">
        <f t="shared" si="7"/>
        <v>#REF!</v>
      </c>
    </row>
    <row r="96" spans="1:3" ht="12.75">
      <c r="A96" s="134">
        <f t="shared" si="6"/>
        <v>12</v>
      </c>
      <c r="B96" s="135" t="e">
        <f>#REF!</f>
        <v>#REF!</v>
      </c>
      <c r="C96" s="133" t="e">
        <f t="shared" si="7"/>
        <v>#REF!</v>
      </c>
    </row>
    <row r="97" spans="1:3" ht="12.75">
      <c r="A97" s="134">
        <f t="shared" si="6"/>
        <v>11</v>
      </c>
      <c r="B97" s="135" t="e">
        <f>#REF!</f>
        <v>#REF!</v>
      </c>
      <c r="C97" s="133" t="e">
        <f t="shared" si="7"/>
        <v>#REF!</v>
      </c>
    </row>
    <row r="98" spans="1:3" ht="12.75">
      <c r="A98" s="134">
        <f>A99+1</f>
        <v>10</v>
      </c>
      <c r="B98" s="135" t="e">
        <f>#REF!</f>
        <v>#REF!</v>
      </c>
      <c r="C98" s="133" t="e">
        <f t="shared" si="7"/>
        <v>#REF!</v>
      </c>
    </row>
    <row r="99" spans="1:3" ht="12.75">
      <c r="A99" s="134">
        <v>9</v>
      </c>
      <c r="B99" s="135" t="e">
        <f>#REF!</f>
        <v>#REF!</v>
      </c>
      <c r="C99" s="133" t="e">
        <f t="shared" si="7"/>
        <v>#REF!</v>
      </c>
    </row>
    <row r="100" spans="2:3" ht="12.75">
      <c r="B100" s="131"/>
      <c r="C100" s="131"/>
    </row>
    <row r="101" spans="2:3" ht="12.75">
      <c r="B101" s="131"/>
      <c r="C101" s="136">
        <f>VLOOKUP($B45,B46:C71,2)</f>
        <v>94.39390201613588</v>
      </c>
    </row>
  </sheetData>
  <sheetProtection/>
  <printOptions horizontalCentered="1"/>
  <pageMargins left="0.5905511811023623" right="0.3937007874015748" top="0.3937007874015748" bottom="0.1968503937007874" header="0.31496062992125984" footer="0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Lakefield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suzanne_andrews</dc:creator>
  <cp:keywords/>
  <dc:description/>
  <cp:lastModifiedBy>Mike Maslowski</cp:lastModifiedBy>
  <cp:lastPrinted>2014-07-17T16:50:48Z</cp:lastPrinted>
  <dcterms:created xsi:type="dcterms:W3CDTF">2006-11-23T14:09:29Z</dcterms:created>
  <dcterms:modified xsi:type="dcterms:W3CDTF">2014-07-23T22:29:16Z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